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20" yWindow="132" windowWidth="10380" windowHeight="5412" tabRatio="892"/>
  </bookViews>
  <sheets>
    <sheet name="MVA-modell" sheetId="33" r:id="rId1"/>
    <sheet name="Forklaring" sheetId="34" r:id="rId2"/>
    <sheet name="ark 2" sheetId="31" r:id="rId3"/>
    <sheet name="ark 3 " sheetId="32" r:id="rId4"/>
    <sheet name="ark 4" sheetId="28" r:id="rId5"/>
    <sheet name="Sit rapp pr april" sheetId="20" state="hidden" r:id="rId6"/>
    <sheet name="Regnsk ON pr april" sheetId="19" state="hidden" r:id="rId7"/>
    <sheet name="Personalkost ON pr april" sheetId="18" state="hidden" r:id="rId8"/>
    <sheet name="Sit rapp Q1" sheetId="17" state="hidden" r:id="rId9"/>
    <sheet name="Regnsk ON pr mars" sheetId="16" state="hidden" r:id="rId10"/>
    <sheet name="Personalkost ON pr mars" sheetId="15" state="hidden" r:id="rId11"/>
    <sheet name="Regnsk ON pr februar" sheetId="13" state="hidden" r:id="rId12"/>
    <sheet name="Personalkost ON pr febr" sheetId="1" state="hidden" r:id="rId13"/>
  </sheets>
  <externalReferences>
    <externalReference r:id="rId14"/>
  </externalReferences>
  <definedNames>
    <definedName name="DICTIONARY">[1]maintanance!$Q$4:$S$1200</definedName>
    <definedName name="_xlnm.Print_Area" localSheetId="2">'ark 2'!$B$1:$S$44</definedName>
    <definedName name="_xlnm.Print_Area" localSheetId="4">'ark 4'!$A$1:$C$57</definedName>
    <definedName name="_xlnm.Print_Area" localSheetId="0">'MVA-modell'!$A$2:$K$32</definedName>
    <definedName name="_xlnm.Print_Area" localSheetId="7">'Personalkost ON pr april'!$A$1:$Z$66</definedName>
    <definedName name="_xlnm.Print_Area" localSheetId="12">'Personalkost ON pr febr'!$A$1:$Z$66</definedName>
    <definedName name="_xlnm.Print_Area" localSheetId="10">'Personalkost ON pr mars'!$A$1:$Z$66</definedName>
    <definedName name="_xlnm.Print_Area" localSheetId="6">'Regnsk ON pr april'!$A$1:$I$185</definedName>
    <definedName name="_xlnm.Print_Area" localSheetId="11">'Regnsk ON pr februar'!$A$1:$J$157</definedName>
    <definedName name="_xlnm.Print_Area" localSheetId="9">'Regnsk ON pr mars'!$A$1:$I$174</definedName>
  </definedNames>
  <calcPr calcId="145621"/>
</workbook>
</file>

<file path=xl/calcChain.xml><?xml version="1.0" encoding="utf-8"?>
<calcChain xmlns="http://schemas.openxmlformats.org/spreadsheetml/2006/main">
  <c r="G12" i="33" l="1"/>
  <c r="G8" i="33" l="1"/>
  <c r="T6" i="33"/>
  <c r="T7" i="33"/>
  <c r="T8" i="33"/>
  <c r="T9" i="33"/>
  <c r="T5" i="33"/>
  <c r="G9" i="33"/>
  <c r="I16" i="33"/>
  <c r="H16" i="33"/>
  <c r="I13" i="33" l="1"/>
  <c r="I14" i="33"/>
  <c r="H14" i="33"/>
  <c r="H13" i="33"/>
  <c r="O17" i="33"/>
  <c r="R9" i="33"/>
  <c r="R5" i="33"/>
  <c r="S5" i="33"/>
  <c r="H6" i="33" l="1"/>
  <c r="Q20" i="33"/>
  <c r="E6" i="33"/>
  <c r="I6" i="33"/>
  <c r="P6" i="33"/>
  <c r="C40" i="33"/>
  <c r="R8" i="33"/>
  <c r="P3" i="33"/>
  <c r="P15" i="33" s="1"/>
  <c r="N4" i="33"/>
  <c r="Q5" i="33"/>
  <c r="P5" i="33" s="1"/>
  <c r="S6" i="33"/>
  <c r="Q7" i="33"/>
  <c r="P7" i="33" s="1"/>
  <c r="R7" i="33"/>
  <c r="S7" i="33"/>
  <c r="Q8" i="33"/>
  <c r="P8" i="33" s="1"/>
  <c r="S8" i="33"/>
  <c r="Q9" i="33"/>
  <c r="S9" i="33" s="1"/>
  <c r="O10" i="33"/>
  <c r="O11" i="33" s="1"/>
  <c r="P10" i="33"/>
  <c r="Q11" i="33"/>
  <c r="Q17" i="33" s="1"/>
  <c r="G40" i="33"/>
  <c r="T11" i="33" l="1"/>
  <c r="R11" i="33"/>
  <c r="Q19" i="33"/>
  <c r="P9" i="33"/>
  <c r="P11" i="33" s="1"/>
  <c r="P17" i="33" s="1"/>
  <c r="S11" i="33"/>
  <c r="I8" i="33" l="1"/>
  <c r="G17" i="33"/>
  <c r="I17" i="33" s="1"/>
  <c r="Q12" i="33"/>
  <c r="R12" i="33"/>
  <c r="R17" i="33"/>
  <c r="G24" i="33" l="1"/>
  <c r="J9" i="33" l="1"/>
  <c r="K9" i="33" s="1"/>
  <c r="J10" i="33"/>
  <c r="K10" i="33" s="1"/>
  <c r="J11" i="33"/>
  <c r="K11" i="33" s="1"/>
  <c r="H3" i="33" l="1"/>
  <c r="E9" i="33"/>
  <c r="H9" i="33" s="1"/>
  <c r="E10" i="33"/>
  <c r="G10" i="33" s="1"/>
  <c r="H10" i="33" s="1"/>
  <c r="E11" i="33"/>
  <c r="G11" i="33" s="1"/>
  <c r="H11" i="33" s="1"/>
  <c r="E12" i="33"/>
  <c r="E13" i="33"/>
  <c r="G13" i="33" s="1"/>
  <c r="E14" i="33"/>
  <c r="E16" i="33"/>
  <c r="G16" i="33" s="1"/>
  <c r="E17" i="33"/>
  <c r="E18" i="33"/>
  <c r="G18" i="33" s="1"/>
  <c r="E19" i="33"/>
  <c r="G19" i="33" s="1"/>
  <c r="E20" i="33"/>
  <c r="G20" i="33" s="1"/>
  <c r="E21" i="33"/>
  <c r="G21" i="33" s="1"/>
  <c r="G6" i="33"/>
  <c r="C22" i="33"/>
  <c r="D22" i="33"/>
  <c r="E8" i="33" l="1"/>
  <c r="B22" i="33"/>
  <c r="E15" i="33"/>
  <c r="G15" i="33" s="1"/>
  <c r="F14" i="33"/>
  <c r="G14" i="33" s="1"/>
  <c r="E22" i="33" l="1"/>
  <c r="J6" i="33"/>
  <c r="K6" i="33" s="1"/>
  <c r="J13" i="33"/>
  <c r="K13" i="33" s="1"/>
  <c r="AC64" i="19"/>
  <c r="AL64" i="19" s="1"/>
  <c r="AE92" i="19"/>
  <c r="AK74" i="19"/>
  <c r="AK73" i="19"/>
  <c r="AK72" i="19"/>
  <c r="AK71" i="19"/>
  <c r="AK70" i="19"/>
  <c r="AK69" i="19"/>
  <c r="AL69" i="19" s="1"/>
  <c r="AK67" i="19"/>
  <c r="AK66" i="19"/>
  <c r="AK65" i="19"/>
  <c r="AK64" i="19"/>
  <c r="AK61" i="19"/>
  <c r="AK60" i="19"/>
  <c r="AK59" i="19"/>
  <c r="AK58" i="19"/>
  <c r="AK77" i="19" s="1"/>
  <c r="AK55" i="19"/>
  <c r="AC69" i="19"/>
  <c r="AD88" i="19"/>
  <c r="AG88" i="19" s="1"/>
  <c r="AC91" i="19"/>
  <c r="AC89" i="19"/>
  <c r="AD89" i="19" s="1"/>
  <c r="AG89" i="19" s="1"/>
  <c r="AC58" i="19"/>
  <c r="AD61" i="19"/>
  <c r="AD60" i="19"/>
  <c r="AE60" i="19" s="1"/>
  <c r="AD59" i="19"/>
  <c r="AE59" i="19" s="1"/>
  <c r="AD58" i="19"/>
  <c r="AC73" i="19"/>
  <c r="AC72" i="19"/>
  <c r="AC71" i="19"/>
  <c r="AC70" i="19"/>
  <c r="AL70" i="19" s="1"/>
  <c r="AC67" i="19"/>
  <c r="AC66" i="19"/>
  <c r="AC61" i="19"/>
  <c r="AC60" i="19"/>
  <c r="AC59" i="19"/>
  <c r="AE58" i="19"/>
  <c r="AC55" i="19"/>
  <c r="J126" i="19"/>
  <c r="J117" i="19"/>
  <c r="M117" i="19"/>
  <c r="J122" i="19"/>
  <c r="L126" i="19"/>
  <c r="V87" i="19" s="1"/>
  <c r="V89" i="19"/>
  <c r="H189" i="19"/>
  <c r="H190" i="19"/>
  <c r="R147" i="19"/>
  <c r="R149" i="19"/>
  <c r="R150" i="19"/>
  <c r="R151" i="19"/>
  <c r="R152" i="19"/>
  <c r="R153" i="19"/>
  <c r="R159" i="19"/>
  <c r="R163" i="19"/>
  <c r="R164" i="19"/>
  <c r="R165" i="19"/>
  <c r="R166" i="19"/>
  <c r="R167" i="19"/>
  <c r="R168" i="19"/>
  <c r="R169" i="19"/>
  <c r="R170" i="19"/>
  <c r="R171" i="19"/>
  <c r="R172" i="19"/>
  <c r="R173" i="19"/>
  <c r="R174" i="19"/>
  <c r="R175" i="19"/>
  <c r="R176" i="19"/>
  <c r="R178" i="19"/>
  <c r="R179" i="19"/>
  <c r="R135" i="19"/>
  <c r="R137" i="19"/>
  <c r="R142" i="19"/>
  <c r="R107" i="19"/>
  <c r="R117" i="19"/>
  <c r="R127" i="19"/>
  <c r="R57" i="19"/>
  <c r="R25" i="19"/>
  <c r="R26" i="19"/>
  <c r="R27" i="19"/>
  <c r="R28" i="19"/>
  <c r="R29" i="19"/>
  <c r="R30" i="19"/>
  <c r="R31" i="19"/>
  <c r="R32" i="19"/>
  <c r="R33" i="19"/>
  <c r="R34" i="19"/>
  <c r="R35" i="19"/>
  <c r="R36" i="19"/>
  <c r="R37" i="19"/>
  <c r="R38" i="19"/>
  <c r="R39" i="19"/>
  <c r="R40" i="19"/>
  <c r="R41" i="19"/>
  <c r="R43" i="19"/>
  <c r="R44" i="19"/>
  <c r="R45" i="19"/>
  <c r="R46" i="19"/>
  <c r="R47" i="19"/>
  <c r="R48" i="19"/>
  <c r="R49" i="19"/>
  <c r="R50" i="19"/>
  <c r="R51" i="19"/>
  <c r="R13" i="19"/>
  <c r="R14" i="19"/>
  <c r="R15" i="19"/>
  <c r="R16" i="19"/>
  <c r="R17" i="19"/>
  <c r="M165" i="19"/>
  <c r="M166" i="19"/>
  <c r="M167" i="19"/>
  <c r="M168" i="19"/>
  <c r="O168" i="19" s="1"/>
  <c r="M169" i="19"/>
  <c r="O169" i="19"/>
  <c r="M170" i="19"/>
  <c r="M171" i="19"/>
  <c r="O171" i="19" s="1"/>
  <c r="M172" i="19"/>
  <c r="M173" i="19"/>
  <c r="M174" i="19"/>
  <c r="M175" i="19"/>
  <c r="O175" i="19" s="1"/>
  <c r="M176" i="19"/>
  <c r="M178" i="19"/>
  <c r="O178" i="19" s="1"/>
  <c r="M179" i="19"/>
  <c r="O179" i="19" s="1"/>
  <c r="M118" i="19"/>
  <c r="M119" i="19"/>
  <c r="M120" i="19"/>
  <c r="M121" i="19"/>
  <c r="M122" i="19"/>
  <c r="M123" i="19"/>
  <c r="M124" i="19"/>
  <c r="M125" i="19"/>
  <c r="M82" i="19"/>
  <c r="M83" i="19"/>
  <c r="M84" i="19"/>
  <c r="M60" i="19"/>
  <c r="M61" i="19"/>
  <c r="M62" i="19"/>
  <c r="M63" i="19"/>
  <c r="M64" i="19"/>
  <c r="M65" i="19"/>
  <c r="M66" i="19"/>
  <c r="M67" i="19"/>
  <c r="M68" i="19"/>
  <c r="M69" i="19"/>
  <c r="M70" i="19"/>
  <c r="M71" i="19"/>
  <c r="M72" i="19"/>
  <c r="M73" i="19"/>
  <c r="M57" i="19"/>
  <c r="O57" i="19"/>
  <c r="M24" i="19"/>
  <c r="O24" i="19"/>
  <c r="M25" i="19"/>
  <c r="O25" i="19"/>
  <c r="M15" i="19"/>
  <c r="O15" i="19"/>
  <c r="M49" i="19"/>
  <c r="O49" i="19"/>
  <c r="M50" i="19"/>
  <c r="O50" i="19"/>
  <c r="M48" i="19"/>
  <c r="O48" i="19"/>
  <c r="K93" i="19"/>
  <c r="M93" i="19"/>
  <c r="D93" i="19"/>
  <c r="D145" i="19"/>
  <c r="D177" i="19"/>
  <c r="E15" i="19"/>
  <c r="G15" i="19" s="1"/>
  <c r="E16" i="19"/>
  <c r="G16" i="19" s="1"/>
  <c r="E25" i="19"/>
  <c r="G25" i="19" s="1"/>
  <c r="E26" i="19"/>
  <c r="G26" i="19" s="1"/>
  <c r="E31" i="19"/>
  <c r="G31" i="19" s="1"/>
  <c r="E57" i="19"/>
  <c r="G57" i="19" s="1"/>
  <c r="E98" i="19"/>
  <c r="E178" i="19"/>
  <c r="E147" i="19"/>
  <c r="E148" i="19"/>
  <c r="E149" i="19"/>
  <c r="E150" i="19"/>
  <c r="E151" i="19"/>
  <c r="G151" i="19" s="1"/>
  <c r="E152" i="19"/>
  <c r="E153" i="19"/>
  <c r="E154" i="19"/>
  <c r="E155" i="19"/>
  <c r="E156" i="19"/>
  <c r="E157" i="19"/>
  <c r="E158" i="19"/>
  <c r="E159" i="19"/>
  <c r="E160" i="19"/>
  <c r="E161" i="19"/>
  <c r="E162" i="19"/>
  <c r="E163" i="19"/>
  <c r="G163" i="19" s="1"/>
  <c r="E164" i="19"/>
  <c r="E165" i="19"/>
  <c r="E166" i="19"/>
  <c r="E167" i="19"/>
  <c r="G167" i="19" s="1"/>
  <c r="E168" i="19"/>
  <c r="G168" i="19"/>
  <c r="E169" i="19"/>
  <c r="E170" i="19"/>
  <c r="G170" i="19" s="1"/>
  <c r="E141" i="19"/>
  <c r="E142" i="19"/>
  <c r="E133" i="19"/>
  <c r="E134" i="19"/>
  <c r="E135" i="19"/>
  <c r="E136" i="19"/>
  <c r="E137" i="19"/>
  <c r="E138" i="19"/>
  <c r="E112" i="19"/>
  <c r="E113" i="19"/>
  <c r="E114" i="19"/>
  <c r="E115" i="19"/>
  <c r="E116" i="19"/>
  <c r="E117" i="19"/>
  <c r="E118" i="19"/>
  <c r="E119" i="19"/>
  <c r="E120" i="19"/>
  <c r="E121" i="19"/>
  <c r="E122" i="19"/>
  <c r="E123" i="19"/>
  <c r="E124" i="19"/>
  <c r="E125" i="19"/>
  <c r="E126" i="19"/>
  <c r="E127" i="19"/>
  <c r="E128" i="19"/>
  <c r="E82" i="19"/>
  <c r="E83" i="19"/>
  <c r="E84" i="19"/>
  <c r="E60" i="19"/>
  <c r="E61" i="19"/>
  <c r="E62" i="19"/>
  <c r="E63" i="19"/>
  <c r="E64" i="19"/>
  <c r="E65" i="19"/>
  <c r="E66" i="19"/>
  <c r="E67" i="19"/>
  <c r="E68" i="19"/>
  <c r="E69" i="19"/>
  <c r="E70" i="19"/>
  <c r="E71" i="19"/>
  <c r="E72" i="19"/>
  <c r="E73" i="19"/>
  <c r="E74" i="19"/>
  <c r="E75" i="19"/>
  <c r="E48" i="19"/>
  <c r="G48" i="19"/>
  <c r="E49" i="19"/>
  <c r="G49" i="19"/>
  <c r="E50" i="19"/>
  <c r="G50" i="19"/>
  <c r="AB185" i="19"/>
  <c r="H17" i="20"/>
  <c r="G17" i="20"/>
  <c r="D16" i="20"/>
  <c r="C16" i="20"/>
  <c r="D13" i="20"/>
  <c r="C13" i="20"/>
  <c r="D12" i="20"/>
  <c r="C12" i="20"/>
  <c r="D17" i="20"/>
  <c r="C17" i="20"/>
  <c r="H10" i="20"/>
  <c r="H18" i="20" s="1"/>
  <c r="H21" i="20" s="1"/>
  <c r="H25" i="20" s="1"/>
  <c r="G10" i="20"/>
  <c r="D7" i="20"/>
  <c r="C7" i="20"/>
  <c r="C10" i="20" s="1"/>
  <c r="C185" i="19"/>
  <c r="R183" i="19"/>
  <c r="M183" i="19"/>
  <c r="O183" i="19" s="1"/>
  <c r="E183" i="19"/>
  <c r="G183" i="19" s="1"/>
  <c r="R182" i="19"/>
  <c r="M182" i="19"/>
  <c r="O182" i="19"/>
  <c r="E182" i="19"/>
  <c r="G182" i="19"/>
  <c r="R181" i="19"/>
  <c r="M181" i="19"/>
  <c r="O181" i="19" s="1"/>
  <c r="E181" i="19"/>
  <c r="G181" i="19" s="1"/>
  <c r="M180" i="19"/>
  <c r="O180" i="19" s="1"/>
  <c r="E180" i="19"/>
  <c r="E179" i="19"/>
  <c r="G179" i="19" s="1"/>
  <c r="K177" i="19"/>
  <c r="M177" i="19" s="1"/>
  <c r="E177" i="19"/>
  <c r="O176" i="19"/>
  <c r="E176" i="19"/>
  <c r="G176" i="19" s="1"/>
  <c r="E175" i="19"/>
  <c r="G175" i="19"/>
  <c r="O174" i="19"/>
  <c r="E174" i="19"/>
  <c r="G174" i="19" s="1"/>
  <c r="O173" i="19"/>
  <c r="E173" i="19"/>
  <c r="G173" i="19"/>
  <c r="O172" i="19"/>
  <c r="E172" i="19"/>
  <c r="G172" i="19" s="1"/>
  <c r="E171" i="19"/>
  <c r="G171" i="19"/>
  <c r="O170" i="19"/>
  <c r="O167" i="19"/>
  <c r="O166" i="19"/>
  <c r="G166" i="19"/>
  <c r="O165" i="19"/>
  <c r="G165" i="19"/>
  <c r="M164" i="19"/>
  <c r="O164" i="19" s="1"/>
  <c r="G164" i="19"/>
  <c r="M163" i="19"/>
  <c r="O163" i="19"/>
  <c r="M162" i="19"/>
  <c r="M161" i="19"/>
  <c r="M160" i="19"/>
  <c r="M159" i="19"/>
  <c r="O159" i="19"/>
  <c r="M158" i="19"/>
  <c r="M157" i="19"/>
  <c r="M156" i="19"/>
  <c r="M155" i="19"/>
  <c r="M154" i="19"/>
  <c r="M153" i="19"/>
  <c r="O153" i="19" s="1"/>
  <c r="G153" i="19"/>
  <c r="M152" i="19"/>
  <c r="O152" i="19"/>
  <c r="M151" i="19"/>
  <c r="O151" i="19"/>
  <c r="M150" i="19"/>
  <c r="O150" i="19" s="1"/>
  <c r="G150" i="19"/>
  <c r="M149" i="19"/>
  <c r="O149" i="19"/>
  <c r="M148" i="19"/>
  <c r="M147" i="19"/>
  <c r="O147" i="19" s="1"/>
  <c r="M146" i="19"/>
  <c r="E146" i="19"/>
  <c r="K145" i="19"/>
  <c r="M144" i="19"/>
  <c r="E144" i="19"/>
  <c r="M143" i="19"/>
  <c r="E143" i="19"/>
  <c r="M142" i="19"/>
  <c r="O142" i="19"/>
  <c r="M141" i="19"/>
  <c r="M140" i="19"/>
  <c r="E140" i="19"/>
  <c r="M139" i="19"/>
  <c r="E139" i="19"/>
  <c r="M138" i="19"/>
  <c r="M137" i="19"/>
  <c r="O137" i="19"/>
  <c r="M136" i="19"/>
  <c r="M135" i="19"/>
  <c r="O135" i="19" s="1"/>
  <c r="M134" i="19"/>
  <c r="M133" i="19"/>
  <c r="M132" i="19"/>
  <c r="E132" i="19"/>
  <c r="M131" i="19"/>
  <c r="E131" i="19"/>
  <c r="M130" i="19"/>
  <c r="E130" i="19"/>
  <c r="M129" i="19"/>
  <c r="E129" i="19"/>
  <c r="M128" i="19"/>
  <c r="M127" i="19"/>
  <c r="O127" i="19"/>
  <c r="O117" i="19"/>
  <c r="M116" i="19"/>
  <c r="M115" i="19"/>
  <c r="M114" i="19"/>
  <c r="M113" i="19"/>
  <c r="M112" i="19"/>
  <c r="M111" i="19"/>
  <c r="E111" i="19"/>
  <c r="M110" i="19"/>
  <c r="E110" i="19"/>
  <c r="M109" i="19"/>
  <c r="E109" i="19"/>
  <c r="M108" i="19"/>
  <c r="E108" i="19"/>
  <c r="M107" i="19"/>
  <c r="O107" i="19"/>
  <c r="E107" i="19"/>
  <c r="G107" i="19"/>
  <c r="M106" i="19"/>
  <c r="E106" i="19"/>
  <c r="M105" i="19"/>
  <c r="E105" i="19"/>
  <c r="M104" i="19"/>
  <c r="E104" i="19"/>
  <c r="M103" i="19"/>
  <c r="E103" i="19"/>
  <c r="M102" i="19"/>
  <c r="E102" i="19"/>
  <c r="M101" i="19"/>
  <c r="E101" i="19"/>
  <c r="M100" i="19"/>
  <c r="E100" i="19"/>
  <c r="M98" i="19"/>
  <c r="M97" i="19"/>
  <c r="E97" i="19"/>
  <c r="M96" i="19"/>
  <c r="E96" i="19"/>
  <c r="M95" i="19"/>
  <c r="E95" i="19"/>
  <c r="M94" i="19"/>
  <c r="E94" i="19"/>
  <c r="R91" i="19"/>
  <c r="M91" i="19"/>
  <c r="O91" i="19" s="1"/>
  <c r="E91" i="19"/>
  <c r="G91" i="19" s="1"/>
  <c r="R90" i="19"/>
  <c r="M90" i="19"/>
  <c r="O90" i="19"/>
  <c r="E90" i="19"/>
  <c r="G90" i="19"/>
  <c r="R89" i="19"/>
  <c r="M89" i="19"/>
  <c r="O89" i="19" s="1"/>
  <c r="E89" i="19"/>
  <c r="G89" i="19" s="1"/>
  <c r="M88" i="19"/>
  <c r="E88" i="19"/>
  <c r="R87" i="19"/>
  <c r="M87" i="19"/>
  <c r="O87" i="19"/>
  <c r="E87" i="19"/>
  <c r="G87" i="19"/>
  <c r="M85" i="19"/>
  <c r="E85" i="19"/>
  <c r="M81" i="19"/>
  <c r="E81" i="19"/>
  <c r="M80" i="19"/>
  <c r="E80" i="19"/>
  <c r="M79" i="19"/>
  <c r="E79" i="19"/>
  <c r="M78" i="19"/>
  <c r="E78" i="19"/>
  <c r="M77" i="19"/>
  <c r="E77" i="19"/>
  <c r="M76" i="19"/>
  <c r="E76" i="19"/>
  <c r="M75" i="19"/>
  <c r="M74" i="19"/>
  <c r="M59" i="19"/>
  <c r="E59" i="19"/>
  <c r="M56" i="19"/>
  <c r="E56" i="19"/>
  <c r="G56" i="19" s="1"/>
  <c r="R55" i="19"/>
  <c r="M55" i="19"/>
  <c r="O55" i="19"/>
  <c r="E55" i="19"/>
  <c r="G55" i="19"/>
  <c r="R54" i="19"/>
  <c r="M54" i="19"/>
  <c r="O54" i="19" s="1"/>
  <c r="E54" i="19"/>
  <c r="G54" i="19" s="1"/>
  <c r="R53" i="19"/>
  <c r="M53" i="19"/>
  <c r="O53" i="19"/>
  <c r="E53" i="19"/>
  <c r="G53" i="19"/>
  <c r="R52" i="19"/>
  <c r="M52" i="19"/>
  <c r="O52" i="19" s="1"/>
  <c r="E52" i="19"/>
  <c r="G52" i="19" s="1"/>
  <c r="M51" i="19"/>
  <c r="O51" i="19" s="1"/>
  <c r="E51" i="19"/>
  <c r="G51" i="19" s="1"/>
  <c r="M47" i="19"/>
  <c r="O47" i="19" s="1"/>
  <c r="E47" i="19"/>
  <c r="G47" i="19" s="1"/>
  <c r="M46" i="19"/>
  <c r="O46" i="19" s="1"/>
  <c r="E46" i="19"/>
  <c r="G46" i="19" s="1"/>
  <c r="M45" i="19"/>
  <c r="O45" i="19" s="1"/>
  <c r="E45" i="19"/>
  <c r="G45" i="19" s="1"/>
  <c r="M44" i="19"/>
  <c r="O44" i="19" s="1"/>
  <c r="E44" i="19"/>
  <c r="G44" i="19" s="1"/>
  <c r="M43" i="19"/>
  <c r="O43" i="19" s="1"/>
  <c r="E43" i="19"/>
  <c r="G43" i="19" s="1"/>
  <c r="M42" i="19"/>
  <c r="E42" i="19"/>
  <c r="G42" i="19" s="1"/>
  <c r="M41" i="19"/>
  <c r="O41" i="19" s="1"/>
  <c r="E41" i="19"/>
  <c r="G41" i="19" s="1"/>
  <c r="M40" i="19"/>
  <c r="O40" i="19" s="1"/>
  <c r="E40" i="19"/>
  <c r="G40" i="19" s="1"/>
  <c r="M39" i="19"/>
  <c r="O39" i="19" s="1"/>
  <c r="E39" i="19"/>
  <c r="G39" i="19" s="1"/>
  <c r="M38" i="19"/>
  <c r="O38" i="19" s="1"/>
  <c r="E38" i="19"/>
  <c r="G38" i="19" s="1"/>
  <c r="M37" i="19"/>
  <c r="O37" i="19" s="1"/>
  <c r="E37" i="19"/>
  <c r="G37" i="19" s="1"/>
  <c r="M36" i="19"/>
  <c r="O36" i="19" s="1"/>
  <c r="E36" i="19"/>
  <c r="G36" i="19" s="1"/>
  <c r="M35" i="19"/>
  <c r="O35" i="19" s="1"/>
  <c r="E35" i="19"/>
  <c r="G35" i="19" s="1"/>
  <c r="M34" i="19"/>
  <c r="O34" i="19" s="1"/>
  <c r="E34" i="19"/>
  <c r="G34" i="19" s="1"/>
  <c r="M33" i="19"/>
  <c r="O33" i="19" s="1"/>
  <c r="E33" i="19"/>
  <c r="G33" i="19" s="1"/>
  <c r="M32" i="19"/>
  <c r="O32" i="19" s="1"/>
  <c r="E32" i="19"/>
  <c r="G32" i="19" s="1"/>
  <c r="M31" i="19"/>
  <c r="O31" i="19" s="1"/>
  <c r="M30" i="19"/>
  <c r="O30" i="19" s="1"/>
  <c r="E30" i="19"/>
  <c r="G30" i="19" s="1"/>
  <c r="M29" i="19"/>
  <c r="O29" i="19" s="1"/>
  <c r="E29" i="19"/>
  <c r="G29" i="19" s="1"/>
  <c r="M28" i="19"/>
  <c r="O28" i="19" s="1"/>
  <c r="E28" i="19"/>
  <c r="G28" i="19" s="1"/>
  <c r="M27" i="19"/>
  <c r="O27" i="19" s="1"/>
  <c r="E27" i="19"/>
  <c r="G27" i="19" s="1"/>
  <c r="M26" i="19"/>
  <c r="O26" i="19" s="1"/>
  <c r="R24" i="19"/>
  <c r="E24" i="19"/>
  <c r="G24" i="19"/>
  <c r="R23" i="19"/>
  <c r="M23" i="19"/>
  <c r="O23" i="19" s="1"/>
  <c r="E23" i="19"/>
  <c r="G23" i="19" s="1"/>
  <c r="R22" i="19"/>
  <c r="M22" i="19"/>
  <c r="O22" i="19"/>
  <c r="E22" i="19"/>
  <c r="G22" i="19"/>
  <c r="M21" i="19"/>
  <c r="E21" i="19"/>
  <c r="R19" i="19"/>
  <c r="M19" i="19"/>
  <c r="O19" i="19" s="1"/>
  <c r="E19" i="19"/>
  <c r="G19" i="19" s="1"/>
  <c r="R18" i="19"/>
  <c r="M18" i="19"/>
  <c r="O18" i="19"/>
  <c r="E18" i="19"/>
  <c r="G18" i="19"/>
  <c r="M17" i="19"/>
  <c r="O17" i="19"/>
  <c r="E17" i="19"/>
  <c r="G17" i="19"/>
  <c r="M16" i="19"/>
  <c r="O16" i="19"/>
  <c r="M14" i="19"/>
  <c r="O14" i="19"/>
  <c r="E14" i="19"/>
  <c r="G14" i="19"/>
  <c r="M13" i="19"/>
  <c r="O13" i="19"/>
  <c r="E13" i="19"/>
  <c r="G13" i="19"/>
  <c r="R12" i="19"/>
  <c r="M12" i="19"/>
  <c r="O12" i="19" s="1"/>
  <c r="E12" i="19"/>
  <c r="G12" i="19" s="1"/>
  <c r="R10" i="19"/>
  <c r="M9" i="19"/>
  <c r="P9" i="19"/>
  <c r="E9" i="19"/>
  <c r="M8" i="19"/>
  <c r="P8" i="19" s="1"/>
  <c r="E8" i="19"/>
  <c r="M7" i="19"/>
  <c r="P7" i="19"/>
  <c r="E7" i="19"/>
  <c r="M6" i="19"/>
  <c r="E6" i="19"/>
  <c r="X53" i="18"/>
  <c r="V53" i="18"/>
  <c r="S53" i="18"/>
  <c r="R53" i="18"/>
  <c r="Q53" i="18"/>
  <c r="P53" i="18"/>
  <c r="O53" i="18"/>
  <c r="M53" i="18"/>
  <c r="L53" i="18"/>
  <c r="K53" i="18"/>
  <c r="J53" i="18"/>
  <c r="I53" i="18"/>
  <c r="H53" i="18"/>
  <c r="G53" i="18"/>
  <c r="F53" i="18"/>
  <c r="E53" i="18"/>
  <c r="D53" i="18"/>
  <c r="B53" i="18"/>
  <c r="K49" i="18"/>
  <c r="J49" i="18"/>
  <c r="I49" i="18"/>
  <c r="H49" i="18"/>
  <c r="G49" i="18"/>
  <c r="F49" i="18"/>
  <c r="D48" i="18"/>
  <c r="S48" i="18" s="1"/>
  <c r="S47" i="18"/>
  <c r="L47" i="18"/>
  <c r="M47" i="18" s="1"/>
  <c r="S46" i="18"/>
  <c r="L46" i="18"/>
  <c r="M46" i="18" s="1"/>
  <c r="S45" i="18"/>
  <c r="L45" i="18"/>
  <c r="M45" i="18" s="1"/>
  <c r="B45" i="18"/>
  <c r="S44" i="18"/>
  <c r="L44" i="18"/>
  <c r="B44" i="18"/>
  <c r="S43" i="18"/>
  <c r="L43" i="18"/>
  <c r="M43" i="18" s="1"/>
  <c r="B43" i="18"/>
  <c r="B49" i="18"/>
  <c r="D42" i="18"/>
  <c r="S42" i="18"/>
  <c r="D41" i="18"/>
  <c r="S41" i="18"/>
  <c r="D40" i="18"/>
  <c r="S40" i="18"/>
  <c r="D39" i="18"/>
  <c r="S39" i="18"/>
  <c r="D38" i="18"/>
  <c r="S38" i="18"/>
  <c r="D37" i="18"/>
  <c r="K32" i="18"/>
  <c r="J32" i="18"/>
  <c r="J55" i="18"/>
  <c r="I32" i="18"/>
  <c r="H32" i="18"/>
  <c r="G32" i="18"/>
  <c r="F32" i="18"/>
  <c r="E32" i="18"/>
  <c r="B32" i="18"/>
  <c r="L31" i="18"/>
  <c r="D31" i="18"/>
  <c r="S31" i="18" s="1"/>
  <c r="S30" i="18"/>
  <c r="D30" i="18"/>
  <c r="L30" i="18" s="1"/>
  <c r="S29" i="18"/>
  <c r="L29" i="18"/>
  <c r="D29" i="18"/>
  <c r="S28" i="18"/>
  <c r="L28" i="18"/>
  <c r="M28" i="18"/>
  <c r="D27" i="18"/>
  <c r="K25" i="18"/>
  <c r="K55" i="18" s="1"/>
  <c r="J25" i="18"/>
  <c r="J34" i="18" s="1"/>
  <c r="I25" i="18"/>
  <c r="I55" i="18" s="1"/>
  <c r="H25" i="18"/>
  <c r="G25" i="18"/>
  <c r="G55" i="18" s="1"/>
  <c r="F25" i="18"/>
  <c r="E25" i="18"/>
  <c r="E55" i="18" s="1"/>
  <c r="B25" i="18"/>
  <c r="D24" i="18"/>
  <c r="D23" i="18"/>
  <c r="D22" i="18"/>
  <c r="D21" i="18"/>
  <c r="D20" i="18"/>
  <c r="D19" i="18"/>
  <c r="D18" i="18"/>
  <c r="D17" i="18"/>
  <c r="D16" i="18"/>
  <c r="D15" i="18"/>
  <c r="D14" i="18"/>
  <c r="D13" i="18"/>
  <c r="D12" i="18"/>
  <c r="D11" i="18"/>
  <c r="D10" i="18"/>
  <c r="D9" i="18"/>
  <c r="D8" i="18"/>
  <c r="D7" i="18"/>
  <c r="V70" i="16"/>
  <c r="W70" i="16"/>
  <c r="X66" i="16"/>
  <c r="X64" i="16"/>
  <c r="X65" i="16"/>
  <c r="X67" i="16"/>
  <c r="X53" i="16"/>
  <c r="X54" i="16"/>
  <c r="X55" i="16"/>
  <c r="X56" i="16"/>
  <c r="X58" i="16"/>
  <c r="X59" i="16"/>
  <c r="X60" i="16"/>
  <c r="X61" i="16"/>
  <c r="X62" i="16"/>
  <c r="X63" i="16"/>
  <c r="X51" i="16"/>
  <c r="V151" i="16"/>
  <c r="V154" i="16" s="1"/>
  <c r="H17" i="17"/>
  <c r="G17" i="17"/>
  <c r="H15" i="17"/>
  <c r="H23" i="17" s="1"/>
  <c r="R79" i="16"/>
  <c r="R46" i="16"/>
  <c r="C12" i="17"/>
  <c r="C16" i="17"/>
  <c r="C13" i="17"/>
  <c r="C7" i="17"/>
  <c r="D16" i="17"/>
  <c r="D12" i="17"/>
  <c r="D13" i="17"/>
  <c r="D7" i="17"/>
  <c r="D17" i="17"/>
  <c r="C17" i="17"/>
  <c r="H10" i="17"/>
  <c r="H18" i="17" s="1"/>
  <c r="G10" i="17"/>
  <c r="G18" i="17" s="1"/>
  <c r="D10" i="17"/>
  <c r="R109" i="16"/>
  <c r="R118" i="16"/>
  <c r="R126" i="16"/>
  <c r="R128" i="16"/>
  <c r="R133" i="16"/>
  <c r="R138" i="16"/>
  <c r="R140" i="16"/>
  <c r="R141" i="16"/>
  <c r="R142" i="16"/>
  <c r="R143" i="16"/>
  <c r="M80" i="16"/>
  <c r="L117" i="16"/>
  <c r="AC87" i="19" s="1"/>
  <c r="AD87" i="19" s="1"/>
  <c r="AG87" i="19" s="1"/>
  <c r="L174" i="16"/>
  <c r="K85" i="16"/>
  <c r="R14" i="16"/>
  <c r="R15" i="16"/>
  <c r="R16" i="16"/>
  <c r="R17" i="16"/>
  <c r="R26" i="16"/>
  <c r="R27" i="16"/>
  <c r="R28" i="16"/>
  <c r="R29" i="16"/>
  <c r="R30" i="16"/>
  <c r="R31" i="16"/>
  <c r="R144" i="16"/>
  <c r="R150" i="16"/>
  <c r="R154" i="16"/>
  <c r="R155" i="16"/>
  <c r="R156" i="16"/>
  <c r="R157" i="16"/>
  <c r="R158" i="16"/>
  <c r="M13" i="16"/>
  <c r="O13" i="16"/>
  <c r="M14" i="16"/>
  <c r="O14" i="16"/>
  <c r="M15" i="16"/>
  <c r="O15" i="16"/>
  <c r="M172" i="16"/>
  <c r="M171" i="16"/>
  <c r="O171" i="16" s="1"/>
  <c r="M170" i="16"/>
  <c r="O170" i="16" s="1"/>
  <c r="M169" i="16"/>
  <c r="O169" i="16" s="1"/>
  <c r="M168" i="16"/>
  <c r="O168" i="16" s="1"/>
  <c r="M166" i="16"/>
  <c r="O166" i="16" s="1"/>
  <c r="M165" i="16"/>
  <c r="O165" i="16" s="1"/>
  <c r="M164" i="16"/>
  <c r="O164" i="16" s="1"/>
  <c r="M163" i="16"/>
  <c r="O163" i="16" s="1"/>
  <c r="M162" i="16"/>
  <c r="O162" i="16" s="1"/>
  <c r="M161" i="16"/>
  <c r="O161" i="16" s="1"/>
  <c r="M160" i="16"/>
  <c r="O160" i="16" s="1"/>
  <c r="M159" i="16"/>
  <c r="O159" i="16" s="1"/>
  <c r="M158" i="16"/>
  <c r="O158" i="16" s="1"/>
  <c r="M157" i="16"/>
  <c r="O157" i="16" s="1"/>
  <c r="M156" i="16"/>
  <c r="O156" i="16" s="1"/>
  <c r="M155" i="16"/>
  <c r="O155" i="16" s="1"/>
  <c r="M154" i="16"/>
  <c r="O154" i="16" s="1"/>
  <c r="M153" i="16"/>
  <c r="M152" i="16"/>
  <c r="M151" i="16"/>
  <c r="M150" i="16"/>
  <c r="O150" i="16"/>
  <c r="M149" i="16"/>
  <c r="M148" i="16"/>
  <c r="M147" i="16"/>
  <c r="M146" i="16"/>
  <c r="M145" i="16"/>
  <c r="M144" i="16"/>
  <c r="O144" i="16" s="1"/>
  <c r="M143" i="16"/>
  <c r="O143" i="16" s="1"/>
  <c r="M142" i="16"/>
  <c r="O142" i="16" s="1"/>
  <c r="M141" i="16"/>
  <c r="O141" i="16" s="1"/>
  <c r="M140" i="16"/>
  <c r="O140" i="16" s="1"/>
  <c r="M139" i="16"/>
  <c r="M138" i="16"/>
  <c r="O138" i="16"/>
  <c r="M137" i="16"/>
  <c r="M135" i="16"/>
  <c r="M134" i="16"/>
  <c r="M133" i="16"/>
  <c r="O133" i="16" s="1"/>
  <c r="M132" i="16"/>
  <c r="M131" i="16"/>
  <c r="M130" i="16"/>
  <c r="M129" i="16"/>
  <c r="M128" i="16"/>
  <c r="O128" i="16"/>
  <c r="M127" i="16"/>
  <c r="M126" i="16"/>
  <c r="O126" i="16" s="1"/>
  <c r="M125" i="16"/>
  <c r="M124" i="16"/>
  <c r="M123" i="16"/>
  <c r="M122" i="16"/>
  <c r="M121" i="16"/>
  <c r="M120" i="16"/>
  <c r="M119" i="16"/>
  <c r="M118" i="16"/>
  <c r="O118" i="16"/>
  <c r="M117" i="16"/>
  <c r="M116" i="16"/>
  <c r="M115" i="16"/>
  <c r="M114" i="16"/>
  <c r="M113" i="16"/>
  <c r="M112" i="16"/>
  <c r="M111" i="16"/>
  <c r="M110" i="16"/>
  <c r="M109" i="16"/>
  <c r="O109" i="16"/>
  <c r="M108" i="16"/>
  <c r="M107" i="16"/>
  <c r="M106" i="16"/>
  <c r="M105" i="16"/>
  <c r="M104" i="16"/>
  <c r="M103" i="16"/>
  <c r="M102" i="16"/>
  <c r="M101" i="16"/>
  <c r="M100" i="16"/>
  <c r="M99" i="16"/>
  <c r="O99" i="16" s="1"/>
  <c r="M98" i="16"/>
  <c r="M97" i="16"/>
  <c r="M96" i="16"/>
  <c r="M95" i="16"/>
  <c r="M94" i="16"/>
  <c r="M93" i="16"/>
  <c r="M92" i="16"/>
  <c r="M90" i="16"/>
  <c r="M89" i="16"/>
  <c r="M88" i="16"/>
  <c r="M87" i="16"/>
  <c r="M86" i="16"/>
  <c r="M85" i="16"/>
  <c r="M83" i="16"/>
  <c r="M82" i="16"/>
  <c r="M81" i="16"/>
  <c r="M79" i="16"/>
  <c r="M77" i="16"/>
  <c r="M76" i="16"/>
  <c r="M75" i="16"/>
  <c r="M74" i="16"/>
  <c r="M73" i="16"/>
  <c r="M72" i="16"/>
  <c r="M71" i="16"/>
  <c r="M70" i="16"/>
  <c r="M69" i="16"/>
  <c r="M68" i="16"/>
  <c r="M67" i="16"/>
  <c r="M66" i="16"/>
  <c r="M65" i="16"/>
  <c r="M64" i="16"/>
  <c r="M63" i="16"/>
  <c r="M62" i="16"/>
  <c r="M61" i="16"/>
  <c r="M60" i="16"/>
  <c r="M59" i="16"/>
  <c r="M58" i="16"/>
  <c r="M57" i="16"/>
  <c r="M56" i="16"/>
  <c r="M55" i="16"/>
  <c r="M54" i="16"/>
  <c r="M29" i="16"/>
  <c r="O29" i="16"/>
  <c r="M46" i="16"/>
  <c r="O46" i="16"/>
  <c r="M52" i="16"/>
  <c r="M51" i="16"/>
  <c r="O51" i="16" s="1"/>
  <c r="M50" i="16"/>
  <c r="O50" i="16" s="1"/>
  <c r="M49" i="16"/>
  <c r="O49" i="16" s="1"/>
  <c r="M48" i="16"/>
  <c r="O48" i="16" s="1"/>
  <c r="M47" i="16"/>
  <c r="O47" i="16" s="1"/>
  <c r="M45" i="16"/>
  <c r="O45" i="16" s="1"/>
  <c r="M44" i="16"/>
  <c r="O44" i="16" s="1"/>
  <c r="M43" i="16"/>
  <c r="O43" i="16" s="1"/>
  <c r="M42" i="16"/>
  <c r="O42" i="16" s="1"/>
  <c r="M41" i="16"/>
  <c r="O41" i="16" s="1"/>
  <c r="M40" i="16"/>
  <c r="M39" i="16"/>
  <c r="O39" i="16"/>
  <c r="M38" i="16"/>
  <c r="O38" i="16" s="1"/>
  <c r="M37" i="16"/>
  <c r="O37" i="16"/>
  <c r="M36" i="16"/>
  <c r="O36" i="16" s="1"/>
  <c r="M35" i="16"/>
  <c r="O35" i="16"/>
  <c r="M34" i="16"/>
  <c r="O34" i="16" s="1"/>
  <c r="M33" i="16"/>
  <c r="O33" i="16"/>
  <c r="M32" i="16"/>
  <c r="O32" i="16" s="1"/>
  <c r="M31" i="16"/>
  <c r="O31" i="16"/>
  <c r="M30" i="16"/>
  <c r="O30" i="16" s="1"/>
  <c r="M28" i="16"/>
  <c r="O28" i="16"/>
  <c r="M27" i="16"/>
  <c r="O27" i="16" s="1"/>
  <c r="M26" i="16"/>
  <c r="O26" i="16"/>
  <c r="M25" i="16"/>
  <c r="O25" i="16" s="1"/>
  <c r="M24" i="16"/>
  <c r="O24" i="16"/>
  <c r="M23" i="16"/>
  <c r="O23" i="16" s="1"/>
  <c r="M22" i="16"/>
  <c r="O22" i="16"/>
  <c r="M21" i="16"/>
  <c r="O21" i="16" s="1"/>
  <c r="M20" i="16"/>
  <c r="M18" i="16"/>
  <c r="O18" i="16" s="1"/>
  <c r="M17" i="16"/>
  <c r="O17" i="16" s="1"/>
  <c r="M16" i="16"/>
  <c r="O16" i="16"/>
  <c r="M12" i="16"/>
  <c r="M9" i="16"/>
  <c r="M8" i="16"/>
  <c r="M7" i="16"/>
  <c r="P7" i="16" s="1"/>
  <c r="M6" i="16"/>
  <c r="K136" i="16"/>
  <c r="M136" i="16"/>
  <c r="R172" i="16"/>
  <c r="R171" i="16"/>
  <c r="R170" i="16"/>
  <c r="R168" i="16"/>
  <c r="R166" i="16"/>
  <c r="R165" i="16"/>
  <c r="R164" i="16"/>
  <c r="R163" i="16"/>
  <c r="R162" i="16"/>
  <c r="R161" i="16"/>
  <c r="R160" i="16"/>
  <c r="R159" i="16"/>
  <c r="R99" i="16"/>
  <c r="R83" i="16"/>
  <c r="R82" i="16"/>
  <c r="R81" i="16"/>
  <c r="R51" i="16"/>
  <c r="R50" i="16"/>
  <c r="R49" i="16"/>
  <c r="R48" i="16"/>
  <c r="R47" i="16"/>
  <c r="R45" i="16"/>
  <c r="R44" i="16"/>
  <c r="R43" i="16"/>
  <c r="R42" i="16"/>
  <c r="R41" i="16"/>
  <c r="R39" i="16"/>
  <c r="R38" i="16"/>
  <c r="R37" i="16"/>
  <c r="R36" i="16"/>
  <c r="R35" i="16"/>
  <c r="R34" i="16"/>
  <c r="R33" i="16"/>
  <c r="R32" i="16"/>
  <c r="R25" i="16"/>
  <c r="R24" i="16"/>
  <c r="R23" i="16"/>
  <c r="R22" i="16"/>
  <c r="R21" i="16"/>
  <c r="R18" i="16"/>
  <c r="R13" i="16"/>
  <c r="R12" i="16"/>
  <c r="R10" i="16"/>
  <c r="J174" i="16"/>
  <c r="O172" i="16"/>
  <c r="K167" i="16"/>
  <c r="M167" i="16"/>
  <c r="O83" i="16"/>
  <c r="O82" i="16"/>
  <c r="O81" i="16"/>
  <c r="O79" i="16"/>
  <c r="O12" i="16"/>
  <c r="P9" i="16"/>
  <c r="P8" i="16"/>
  <c r="B45" i="15"/>
  <c r="B44" i="15"/>
  <c r="B43" i="15"/>
  <c r="C174" i="16"/>
  <c r="E172" i="16"/>
  <c r="G172" i="16" s="1"/>
  <c r="E171" i="16"/>
  <c r="G171" i="16"/>
  <c r="E170" i="16"/>
  <c r="G170" i="16" s="1"/>
  <c r="E169" i="16"/>
  <c r="E168" i="16"/>
  <c r="G168" i="16" s="1"/>
  <c r="D167" i="16"/>
  <c r="E167" i="16" s="1"/>
  <c r="E166" i="16"/>
  <c r="G166" i="16" s="1"/>
  <c r="E165" i="16"/>
  <c r="G165" i="16" s="1"/>
  <c r="E164" i="16"/>
  <c r="G164" i="16" s="1"/>
  <c r="E163" i="16"/>
  <c r="G163" i="16" s="1"/>
  <c r="E162" i="16"/>
  <c r="G162" i="16" s="1"/>
  <c r="E161" i="16"/>
  <c r="G161" i="16" s="1"/>
  <c r="E160" i="16"/>
  <c r="G160" i="16" s="1"/>
  <c r="E159" i="16"/>
  <c r="G159" i="16" s="1"/>
  <c r="E158" i="16"/>
  <c r="G158" i="16" s="1"/>
  <c r="E157" i="16"/>
  <c r="G157" i="16" s="1"/>
  <c r="E156" i="16"/>
  <c r="G156" i="16" s="1"/>
  <c r="E155" i="16"/>
  <c r="G155" i="16" s="1"/>
  <c r="E154" i="16"/>
  <c r="G154" i="16" s="1"/>
  <c r="E153" i="16"/>
  <c r="E152" i="16"/>
  <c r="E151" i="16"/>
  <c r="E149" i="16"/>
  <c r="E148" i="16"/>
  <c r="E147" i="16"/>
  <c r="E146" i="16"/>
  <c r="E145" i="16"/>
  <c r="E144" i="16"/>
  <c r="G144" i="16" s="1"/>
  <c r="E142" i="16"/>
  <c r="G142" i="16" s="1"/>
  <c r="E141" i="16"/>
  <c r="G141" i="16" s="1"/>
  <c r="E139" i="16"/>
  <c r="E137" i="16"/>
  <c r="D136" i="16"/>
  <c r="E136" i="16" s="1"/>
  <c r="E135" i="16"/>
  <c r="E134" i="16"/>
  <c r="E132" i="16"/>
  <c r="E131" i="16"/>
  <c r="E130" i="16"/>
  <c r="E129" i="16"/>
  <c r="E127" i="16"/>
  <c r="E125" i="16"/>
  <c r="E124" i="16"/>
  <c r="E123" i="16"/>
  <c r="E122" i="16"/>
  <c r="E121" i="16"/>
  <c r="E120" i="16"/>
  <c r="E119" i="16"/>
  <c r="E117" i="16"/>
  <c r="E116" i="16"/>
  <c r="E115" i="16"/>
  <c r="E114" i="16"/>
  <c r="E113" i="16"/>
  <c r="E112" i="16"/>
  <c r="E111" i="16"/>
  <c r="E110" i="16"/>
  <c r="E108" i="16"/>
  <c r="E107" i="16"/>
  <c r="E106" i="16"/>
  <c r="E105" i="16"/>
  <c r="E104" i="16"/>
  <c r="E103" i="16"/>
  <c r="E102" i="16"/>
  <c r="E101" i="16"/>
  <c r="E100" i="16"/>
  <c r="E99" i="16"/>
  <c r="G99" i="16"/>
  <c r="E98" i="16"/>
  <c r="E97" i="16"/>
  <c r="E96" i="16"/>
  <c r="E95" i="16"/>
  <c r="E94" i="16"/>
  <c r="E93" i="16"/>
  <c r="E92" i="16"/>
  <c r="E89" i="16"/>
  <c r="E88" i="16"/>
  <c r="E87" i="16"/>
  <c r="E86" i="16"/>
  <c r="D85" i="16"/>
  <c r="E83" i="16"/>
  <c r="G83" i="16" s="1"/>
  <c r="E82" i="16"/>
  <c r="G82" i="16"/>
  <c r="E81" i="16"/>
  <c r="G81" i="16" s="1"/>
  <c r="E80" i="16"/>
  <c r="E79" i="16"/>
  <c r="G79" i="16" s="1"/>
  <c r="E77" i="16"/>
  <c r="E75" i="16"/>
  <c r="E74" i="16"/>
  <c r="E73" i="16"/>
  <c r="E72" i="16"/>
  <c r="E71" i="16"/>
  <c r="E70" i="16"/>
  <c r="E69" i="16"/>
  <c r="E68" i="16"/>
  <c r="E67" i="16"/>
  <c r="E66" i="16"/>
  <c r="E65" i="16"/>
  <c r="E62" i="16"/>
  <c r="E61" i="16"/>
  <c r="E60" i="16"/>
  <c r="E59" i="16"/>
  <c r="E58" i="16"/>
  <c r="E57" i="16"/>
  <c r="E56" i="16"/>
  <c r="E54" i="16"/>
  <c r="H52" i="16"/>
  <c r="E52" i="16"/>
  <c r="E51" i="16"/>
  <c r="G51" i="16" s="1"/>
  <c r="E50" i="16"/>
  <c r="G50" i="16"/>
  <c r="E49" i="16"/>
  <c r="G49" i="16" s="1"/>
  <c r="E48" i="16"/>
  <c r="G48" i="16"/>
  <c r="E47" i="16"/>
  <c r="G47" i="16" s="1"/>
  <c r="E45" i="16"/>
  <c r="G45" i="16"/>
  <c r="E44" i="16"/>
  <c r="G44" i="16" s="1"/>
  <c r="E43" i="16"/>
  <c r="G43" i="16"/>
  <c r="E42" i="16"/>
  <c r="G42" i="16" s="1"/>
  <c r="E41" i="16"/>
  <c r="G41" i="16"/>
  <c r="H40" i="16"/>
  <c r="E40" i="16"/>
  <c r="E39" i="16"/>
  <c r="G39" i="16"/>
  <c r="E38" i="16"/>
  <c r="G38" i="16" s="1"/>
  <c r="E37" i="16"/>
  <c r="G37" i="16"/>
  <c r="E36" i="16"/>
  <c r="G36" i="16" s="1"/>
  <c r="E35" i="16"/>
  <c r="G35" i="16"/>
  <c r="E34" i="16"/>
  <c r="G34" i="16" s="1"/>
  <c r="E33" i="16"/>
  <c r="G33" i="16"/>
  <c r="E32" i="16"/>
  <c r="G32" i="16" s="1"/>
  <c r="E31" i="16"/>
  <c r="G31" i="16"/>
  <c r="E30" i="16"/>
  <c r="G30" i="16" s="1"/>
  <c r="E28" i="16"/>
  <c r="G28" i="16"/>
  <c r="E27" i="16"/>
  <c r="G27" i="16" s="1"/>
  <c r="E26" i="16"/>
  <c r="G26" i="16"/>
  <c r="E25" i="16"/>
  <c r="G25" i="16" s="1"/>
  <c r="E24" i="16"/>
  <c r="G24" i="16"/>
  <c r="E23" i="16"/>
  <c r="G23" i="16" s="1"/>
  <c r="E22" i="16"/>
  <c r="G22" i="16"/>
  <c r="E21" i="16"/>
  <c r="G21" i="16" s="1"/>
  <c r="H20" i="16"/>
  <c r="E20" i="16"/>
  <c r="E18" i="16"/>
  <c r="G18" i="16" s="1"/>
  <c r="E17" i="16"/>
  <c r="G17" i="16"/>
  <c r="E16" i="16"/>
  <c r="G16" i="16" s="1"/>
  <c r="E14" i="16"/>
  <c r="G14" i="16"/>
  <c r="E13" i="16"/>
  <c r="G13" i="16" s="1"/>
  <c r="E12" i="16"/>
  <c r="G12" i="16"/>
  <c r="E9" i="16"/>
  <c r="H9" i="16" s="1"/>
  <c r="E8" i="16"/>
  <c r="H8" i="16"/>
  <c r="R8" i="16" s="1"/>
  <c r="E7" i="16"/>
  <c r="H7" i="16" s="1"/>
  <c r="E6" i="16"/>
  <c r="X53" i="15"/>
  <c r="V53" i="15"/>
  <c r="S53" i="15"/>
  <c r="R53" i="15"/>
  <c r="Q53" i="15"/>
  <c r="P53" i="15"/>
  <c r="O53" i="15"/>
  <c r="M53" i="15"/>
  <c r="L53" i="15"/>
  <c r="K53" i="15"/>
  <c r="J53" i="15"/>
  <c r="I53" i="15"/>
  <c r="H53" i="15"/>
  <c r="G53" i="15"/>
  <c r="F53" i="15"/>
  <c r="E53" i="15"/>
  <c r="D53" i="15"/>
  <c r="B53" i="15"/>
  <c r="K49" i="15"/>
  <c r="J49" i="15"/>
  <c r="I49" i="15"/>
  <c r="H49" i="15"/>
  <c r="G49" i="15"/>
  <c r="F49" i="15"/>
  <c r="B49" i="15"/>
  <c r="L48" i="15"/>
  <c r="D48" i="15"/>
  <c r="M48" i="15" s="1"/>
  <c r="S47" i="15"/>
  <c r="L47" i="15"/>
  <c r="S46" i="15"/>
  <c r="M46" i="15"/>
  <c r="L46" i="15"/>
  <c r="O46" i="15"/>
  <c r="P46" i="15" s="1"/>
  <c r="S45" i="15"/>
  <c r="L45" i="15"/>
  <c r="S44" i="15"/>
  <c r="V44" i="15" s="1"/>
  <c r="X44" i="15" s="1"/>
  <c r="M44" i="15"/>
  <c r="L44" i="15"/>
  <c r="O44" i="15" s="1"/>
  <c r="P44" i="15"/>
  <c r="S43" i="15"/>
  <c r="L43" i="15"/>
  <c r="D42" i="15"/>
  <c r="D41" i="15"/>
  <c r="D40" i="15"/>
  <c r="D39" i="15"/>
  <c r="D38" i="15"/>
  <c r="D37" i="15"/>
  <c r="D49" i="15" s="1"/>
  <c r="K32" i="15"/>
  <c r="J32" i="15"/>
  <c r="I32" i="15"/>
  <c r="H32" i="15"/>
  <c r="G32" i="15"/>
  <c r="F32" i="15"/>
  <c r="E32" i="15"/>
  <c r="B32" i="15"/>
  <c r="D31" i="15"/>
  <c r="S31" i="15" s="1"/>
  <c r="S30" i="15"/>
  <c r="L30" i="15"/>
  <c r="D30" i="15"/>
  <c r="M30" i="15" s="1"/>
  <c r="O30" i="15" s="1"/>
  <c r="P30" i="15" s="1"/>
  <c r="S29" i="15"/>
  <c r="D29" i="15"/>
  <c r="S28" i="15"/>
  <c r="L28" i="15"/>
  <c r="D27" i="15"/>
  <c r="K25" i="15"/>
  <c r="J25" i="15"/>
  <c r="J55" i="15" s="1"/>
  <c r="I25" i="15"/>
  <c r="I55" i="15" s="1"/>
  <c r="H25" i="15"/>
  <c r="H55" i="15" s="1"/>
  <c r="G25" i="15"/>
  <c r="F25" i="15"/>
  <c r="F55" i="15" s="1"/>
  <c r="E25" i="15"/>
  <c r="E55" i="15" s="1"/>
  <c r="B25" i="15"/>
  <c r="B34" i="15" s="1"/>
  <c r="D24" i="15"/>
  <c r="D23" i="15"/>
  <c r="D22" i="15"/>
  <c r="D21" i="15"/>
  <c r="D20" i="15"/>
  <c r="D19" i="15"/>
  <c r="D18" i="15"/>
  <c r="D17" i="15"/>
  <c r="D16" i="15"/>
  <c r="D15" i="15"/>
  <c r="D14" i="15"/>
  <c r="D13" i="15"/>
  <c r="D12" i="15"/>
  <c r="D11" i="15"/>
  <c r="D10" i="15"/>
  <c r="D9" i="15"/>
  <c r="D8" i="15"/>
  <c r="D7" i="15"/>
  <c r="H38" i="13"/>
  <c r="H19" i="13"/>
  <c r="S7" i="1"/>
  <c r="R53" i="1"/>
  <c r="Q53" i="1"/>
  <c r="D7" i="1"/>
  <c r="G151" i="13"/>
  <c r="D78" i="13"/>
  <c r="E78" i="13" s="1"/>
  <c r="D123" i="13"/>
  <c r="E123" i="13" s="1"/>
  <c r="D150" i="13"/>
  <c r="G155" i="13"/>
  <c r="AD70" i="19"/>
  <c r="AE70" i="19" s="1"/>
  <c r="C157" i="13"/>
  <c r="G127" i="13"/>
  <c r="G137" i="13"/>
  <c r="G139" i="13"/>
  <c r="G141" i="13"/>
  <c r="G147" i="13"/>
  <c r="G144" i="13"/>
  <c r="G149" i="13"/>
  <c r="H49" i="13"/>
  <c r="E9" i="13"/>
  <c r="H9" i="13"/>
  <c r="E8" i="13"/>
  <c r="H8" i="13"/>
  <c r="E7" i="13"/>
  <c r="H7" i="13"/>
  <c r="E6" i="13"/>
  <c r="H6" i="13"/>
  <c r="E63" i="13"/>
  <c r="E62" i="13"/>
  <c r="E61" i="13"/>
  <c r="E12" i="13"/>
  <c r="E155" i="13"/>
  <c r="E154" i="13"/>
  <c r="G154" i="13" s="1"/>
  <c r="E153" i="13"/>
  <c r="G153" i="13" s="1"/>
  <c r="E152" i="13"/>
  <c r="E151" i="13"/>
  <c r="E150" i="13"/>
  <c r="E149" i="13"/>
  <c r="E148" i="13"/>
  <c r="G148" i="13" s="1"/>
  <c r="E147" i="13"/>
  <c r="E146" i="13"/>
  <c r="G146" i="13" s="1"/>
  <c r="E145" i="13"/>
  <c r="G145" i="13" s="1"/>
  <c r="E144" i="13"/>
  <c r="E143" i="13"/>
  <c r="G143" i="13" s="1"/>
  <c r="E142" i="13"/>
  <c r="G142" i="13" s="1"/>
  <c r="E141" i="13"/>
  <c r="E140" i="13"/>
  <c r="G140" i="13" s="1"/>
  <c r="E139" i="13"/>
  <c r="E138" i="13"/>
  <c r="G138" i="13" s="1"/>
  <c r="E137" i="13"/>
  <c r="E136" i="13"/>
  <c r="E135" i="13"/>
  <c r="E134" i="13"/>
  <c r="E133" i="13"/>
  <c r="E132" i="13"/>
  <c r="E131" i="13"/>
  <c r="E130" i="13"/>
  <c r="E129" i="13"/>
  <c r="E128" i="13"/>
  <c r="G128" i="13" s="1"/>
  <c r="E127" i="13"/>
  <c r="E126" i="13"/>
  <c r="G126" i="13" s="1"/>
  <c r="E125" i="13"/>
  <c r="E124" i="13"/>
  <c r="E122" i="13"/>
  <c r="E121" i="13"/>
  <c r="E120" i="13"/>
  <c r="E119" i="13"/>
  <c r="E118" i="13"/>
  <c r="E117" i="13"/>
  <c r="E116" i="13"/>
  <c r="E115" i="13"/>
  <c r="E114" i="13"/>
  <c r="E113" i="13"/>
  <c r="E112" i="13"/>
  <c r="E111" i="13"/>
  <c r="E110" i="13"/>
  <c r="E109" i="13"/>
  <c r="E108" i="13"/>
  <c r="E107" i="13"/>
  <c r="E106" i="13"/>
  <c r="E105" i="13"/>
  <c r="E104" i="13"/>
  <c r="E103" i="13"/>
  <c r="E102" i="13"/>
  <c r="E101" i="13"/>
  <c r="E100" i="13"/>
  <c r="E99" i="13"/>
  <c r="E98" i="13"/>
  <c r="E97" i="13"/>
  <c r="E96" i="13"/>
  <c r="E95" i="13"/>
  <c r="E94" i="13"/>
  <c r="E93" i="13"/>
  <c r="E92" i="13"/>
  <c r="E91" i="13"/>
  <c r="G91" i="13" s="1"/>
  <c r="E90" i="13"/>
  <c r="E89" i="13"/>
  <c r="E88" i="13"/>
  <c r="E87" i="13"/>
  <c r="E86" i="13"/>
  <c r="E85" i="13"/>
  <c r="E84" i="13"/>
  <c r="E82" i="13"/>
  <c r="E81" i="13"/>
  <c r="E80" i="13"/>
  <c r="E79" i="13"/>
  <c r="E76" i="13"/>
  <c r="G76" i="13" s="1"/>
  <c r="E75" i="13"/>
  <c r="G75" i="13" s="1"/>
  <c r="E74" i="13"/>
  <c r="G74" i="13" s="1"/>
  <c r="E73" i="13"/>
  <c r="E72" i="13"/>
  <c r="G72" i="13"/>
  <c r="E70" i="13"/>
  <c r="E69" i="13"/>
  <c r="E68" i="13"/>
  <c r="E67" i="13"/>
  <c r="E66" i="13"/>
  <c r="E65" i="13"/>
  <c r="E64" i="13"/>
  <c r="E60" i="13"/>
  <c r="E59" i="13"/>
  <c r="E58" i="13"/>
  <c r="E57" i="13"/>
  <c r="E56" i="13"/>
  <c r="E55" i="13"/>
  <c r="E54" i="13"/>
  <c r="E53" i="13"/>
  <c r="E52" i="13"/>
  <c r="E51" i="13"/>
  <c r="E49" i="13"/>
  <c r="G49" i="13" s="1"/>
  <c r="E48" i="13"/>
  <c r="G48" i="13" s="1"/>
  <c r="E47" i="13"/>
  <c r="G47" i="13" s="1"/>
  <c r="E46" i="13"/>
  <c r="G46" i="13" s="1"/>
  <c r="E45" i="13"/>
  <c r="G45" i="13" s="1"/>
  <c r="E44" i="13"/>
  <c r="G44" i="13" s="1"/>
  <c r="E43" i="13"/>
  <c r="G43" i="13" s="1"/>
  <c r="E42" i="13"/>
  <c r="G42" i="13" s="1"/>
  <c r="E41" i="13"/>
  <c r="G41" i="13" s="1"/>
  <c r="E40" i="13"/>
  <c r="G40" i="13" s="1"/>
  <c r="E39" i="13"/>
  <c r="G39" i="13" s="1"/>
  <c r="E38" i="13"/>
  <c r="G38" i="13" s="1"/>
  <c r="E36" i="13"/>
  <c r="G36" i="13" s="1"/>
  <c r="E35" i="13"/>
  <c r="G35" i="13" s="1"/>
  <c r="E34" i="13"/>
  <c r="G34" i="13" s="1"/>
  <c r="E33" i="13"/>
  <c r="G33" i="13" s="1"/>
  <c r="E32" i="13"/>
  <c r="G32" i="13" s="1"/>
  <c r="E31" i="13"/>
  <c r="G31" i="13" s="1"/>
  <c r="E30" i="13"/>
  <c r="G30" i="13" s="1"/>
  <c r="E29" i="13"/>
  <c r="G29" i="13" s="1"/>
  <c r="E28" i="13"/>
  <c r="G28" i="13" s="1"/>
  <c r="E27" i="13"/>
  <c r="G27" i="13" s="1"/>
  <c r="E26" i="13"/>
  <c r="G26" i="13" s="1"/>
  <c r="E25" i="13"/>
  <c r="G25" i="13" s="1"/>
  <c r="E24" i="13"/>
  <c r="G24" i="13" s="1"/>
  <c r="E23" i="13"/>
  <c r="G23" i="13" s="1"/>
  <c r="E22" i="13"/>
  <c r="G22" i="13" s="1"/>
  <c r="E21" i="13"/>
  <c r="G21" i="13" s="1"/>
  <c r="E20" i="13"/>
  <c r="G20" i="13" s="1"/>
  <c r="E19" i="13"/>
  <c r="E17" i="13"/>
  <c r="G17" i="13" s="1"/>
  <c r="E16" i="13"/>
  <c r="G16" i="13" s="1"/>
  <c r="E15" i="13"/>
  <c r="G15" i="13" s="1"/>
  <c r="E14" i="13"/>
  <c r="G14" i="13" s="1"/>
  <c r="E13" i="13"/>
  <c r="G13" i="13" s="1"/>
  <c r="G12" i="13"/>
  <c r="B49" i="1"/>
  <c r="B25" i="1"/>
  <c r="D22" i="1"/>
  <c r="D41" i="1"/>
  <c r="L47" i="1"/>
  <c r="O47" i="1" s="1"/>
  <c r="P47" i="1" s="1"/>
  <c r="M47" i="1"/>
  <c r="S47" i="1"/>
  <c r="M53" i="1"/>
  <c r="P53" i="1"/>
  <c r="S53" i="1"/>
  <c r="B53" i="1"/>
  <c r="L43" i="1"/>
  <c r="L44" i="1"/>
  <c r="M44" i="1" s="1"/>
  <c r="O44" i="1"/>
  <c r="P44" i="1" s="1"/>
  <c r="L45" i="1"/>
  <c r="L46" i="1"/>
  <c r="M46" i="1" s="1"/>
  <c r="O46" i="1"/>
  <c r="P46" i="1" s="1"/>
  <c r="S43" i="1"/>
  <c r="S44" i="1"/>
  <c r="S45" i="1"/>
  <c r="S46" i="1"/>
  <c r="D48" i="1"/>
  <c r="D42" i="1"/>
  <c r="D40" i="1"/>
  <c r="D39" i="1"/>
  <c r="D38" i="1"/>
  <c r="D37" i="1"/>
  <c r="S37" i="1" s="1"/>
  <c r="D31" i="1"/>
  <c r="S31" i="1" s="1"/>
  <c r="D30" i="1"/>
  <c r="D29" i="1"/>
  <c r="D27" i="1"/>
  <c r="D24" i="1"/>
  <c r="L24" i="1" s="1"/>
  <c r="D23" i="1"/>
  <c r="D21" i="1"/>
  <c r="D20" i="1"/>
  <c r="D19" i="1"/>
  <c r="S19" i="1" s="1"/>
  <c r="D18" i="1"/>
  <c r="D17" i="1"/>
  <c r="D16" i="1"/>
  <c r="L16" i="1" s="1"/>
  <c r="D15" i="1"/>
  <c r="D14" i="1"/>
  <c r="D13" i="1"/>
  <c r="D12" i="1"/>
  <c r="L12" i="1" s="1"/>
  <c r="D11" i="1"/>
  <c r="D10" i="1"/>
  <c r="D9" i="1"/>
  <c r="D8" i="1"/>
  <c r="B32" i="1"/>
  <c r="B34" i="1" s="1"/>
  <c r="L39" i="1"/>
  <c r="M39" i="1"/>
  <c r="O39" i="1" s="1"/>
  <c r="P39" i="1" s="1"/>
  <c r="L37" i="1"/>
  <c r="M37" i="1"/>
  <c r="L40" i="1"/>
  <c r="M40" i="1" s="1"/>
  <c r="L42" i="1"/>
  <c r="L19" i="1"/>
  <c r="M19" i="1" s="1"/>
  <c r="O19" i="1" s="1"/>
  <c r="P19" i="1" s="1"/>
  <c r="L23" i="1"/>
  <c r="M23" i="1" s="1"/>
  <c r="L8" i="1"/>
  <c r="L10" i="1"/>
  <c r="M10" i="1"/>
  <c r="O10" i="1" s="1"/>
  <c r="P10" i="1" s="1"/>
  <c r="L11" i="1"/>
  <c r="M11" i="1"/>
  <c r="M12" i="1"/>
  <c r="O12" i="1" s="1"/>
  <c r="P12" i="1"/>
  <c r="L14" i="1"/>
  <c r="M14" i="1"/>
  <c r="O14" i="1"/>
  <c r="P14" i="1" s="1"/>
  <c r="L15" i="1"/>
  <c r="M15" i="1" s="1"/>
  <c r="M16" i="1"/>
  <c r="O16" i="1" s="1"/>
  <c r="P16" i="1" s="1"/>
  <c r="L18" i="1"/>
  <c r="M18" i="1"/>
  <c r="O18" i="1"/>
  <c r="P18" i="1"/>
  <c r="L20" i="1"/>
  <c r="M20" i="1"/>
  <c r="L22" i="1"/>
  <c r="M22" i="1"/>
  <c r="M24" i="1"/>
  <c r="O24" i="1"/>
  <c r="P24" i="1" s="1"/>
  <c r="L27" i="1"/>
  <c r="L28" i="1"/>
  <c r="M28" i="1"/>
  <c r="O28" i="1" s="1"/>
  <c r="L29" i="1"/>
  <c r="L30" i="1"/>
  <c r="M30" i="1"/>
  <c r="O30" i="1" s="1"/>
  <c r="P30" i="1" s="1"/>
  <c r="L31" i="1"/>
  <c r="M31" i="1" s="1"/>
  <c r="S39" i="1"/>
  <c r="S40" i="1"/>
  <c r="S42" i="1"/>
  <c r="S27" i="1"/>
  <c r="S28" i="1"/>
  <c r="S30" i="1"/>
  <c r="S8" i="1"/>
  <c r="S10" i="1"/>
  <c r="S12" i="1"/>
  <c r="S14" i="1"/>
  <c r="S16" i="1"/>
  <c r="S18" i="1"/>
  <c r="S20" i="1"/>
  <c r="S22" i="1"/>
  <c r="S23" i="1"/>
  <c r="S24" i="1"/>
  <c r="X53" i="1"/>
  <c r="V53" i="1"/>
  <c r="D25" i="1"/>
  <c r="D53" i="1"/>
  <c r="E25" i="1"/>
  <c r="E55" i="1"/>
  <c r="E32" i="1"/>
  <c r="E53" i="1"/>
  <c r="F25" i="1"/>
  <c r="F55" i="1" s="1"/>
  <c r="F34" i="1"/>
  <c r="F32" i="1"/>
  <c r="F49" i="1"/>
  <c r="F53" i="1"/>
  <c r="G25" i="1"/>
  <c r="G55" i="1" s="1"/>
  <c r="G32" i="1"/>
  <c r="G49" i="1"/>
  <c r="G53" i="1"/>
  <c r="H25" i="1"/>
  <c r="H32" i="1"/>
  <c r="H49" i="1"/>
  <c r="H53" i="1"/>
  <c r="I25" i="1"/>
  <c r="I32" i="1"/>
  <c r="I49" i="1"/>
  <c r="I55" i="1" s="1"/>
  <c r="I53" i="1"/>
  <c r="J25" i="1"/>
  <c r="J32" i="1"/>
  <c r="J49" i="1"/>
  <c r="J53" i="1"/>
  <c r="K25" i="1"/>
  <c r="K32" i="1"/>
  <c r="K49" i="1"/>
  <c r="K53" i="1"/>
  <c r="L53" i="1"/>
  <c r="O53" i="1"/>
  <c r="G34" i="1"/>
  <c r="L7" i="1"/>
  <c r="I34" i="1"/>
  <c r="V30" i="1"/>
  <c r="X30" i="1" s="1"/>
  <c r="P28" i="1"/>
  <c r="AD71" i="19"/>
  <c r="AE71" i="19" s="1"/>
  <c r="D157" i="13"/>
  <c r="E37" i="13"/>
  <c r="O42" i="1"/>
  <c r="P42" i="1" s="1"/>
  <c r="V42" i="1" s="1"/>
  <c r="X42" i="1" s="1"/>
  <c r="O37" i="1"/>
  <c r="P37" i="1" s="1"/>
  <c r="M42" i="1"/>
  <c r="P6" i="16"/>
  <c r="B55" i="15"/>
  <c r="B62" i="15" s="1"/>
  <c r="H6" i="16"/>
  <c r="R6" i="16"/>
  <c r="O48" i="15"/>
  <c r="P48" i="15" s="1"/>
  <c r="Q48" i="15" s="1"/>
  <c r="B61" i="15"/>
  <c r="Q44" i="15"/>
  <c r="R44" i="15"/>
  <c r="L7" i="15"/>
  <c r="M7" i="15" s="1"/>
  <c r="S7" i="15"/>
  <c r="L8" i="15"/>
  <c r="M8" i="15"/>
  <c r="S8" i="15"/>
  <c r="L10" i="15"/>
  <c r="M10" i="15"/>
  <c r="O10" i="15"/>
  <c r="P10" i="15" s="1"/>
  <c r="S10" i="15"/>
  <c r="L11" i="15"/>
  <c r="M11" i="15"/>
  <c r="S11" i="15"/>
  <c r="L12" i="15"/>
  <c r="M12" i="15"/>
  <c r="O12" i="15"/>
  <c r="P12" i="15" s="1"/>
  <c r="V12" i="15" s="1"/>
  <c r="S12" i="15"/>
  <c r="L14" i="15"/>
  <c r="M14" i="15"/>
  <c r="O14" i="15"/>
  <c r="P14" i="15" s="1"/>
  <c r="S14" i="15"/>
  <c r="L15" i="15"/>
  <c r="M15" i="15"/>
  <c r="S15" i="15"/>
  <c r="L16" i="15"/>
  <c r="M16" i="15"/>
  <c r="O16" i="15"/>
  <c r="P16" i="15" s="1"/>
  <c r="Q16" i="15" s="1"/>
  <c r="S16" i="15"/>
  <c r="L18" i="15"/>
  <c r="M18" i="15"/>
  <c r="O18" i="15"/>
  <c r="P18" i="15" s="1"/>
  <c r="S18" i="15"/>
  <c r="L19" i="15"/>
  <c r="M19" i="15"/>
  <c r="S19" i="15"/>
  <c r="L20" i="15"/>
  <c r="M20" i="15"/>
  <c r="O20" i="15"/>
  <c r="P20" i="15" s="1"/>
  <c r="V20" i="15" s="1"/>
  <c r="S20" i="15"/>
  <c r="L22" i="15"/>
  <c r="M22" i="15"/>
  <c r="O22" i="15"/>
  <c r="P22" i="15" s="1"/>
  <c r="S22" i="15"/>
  <c r="L23" i="15"/>
  <c r="M23" i="15"/>
  <c r="S23" i="15"/>
  <c r="L24" i="15"/>
  <c r="M24" i="15"/>
  <c r="O24" i="15"/>
  <c r="P24" i="15" s="1"/>
  <c r="V24" i="15" s="1"/>
  <c r="S24" i="15"/>
  <c r="L27" i="15"/>
  <c r="M28" i="15"/>
  <c r="O28" i="15"/>
  <c r="P28" i="15" s="1"/>
  <c r="F34" i="15"/>
  <c r="H34" i="15"/>
  <c r="J34" i="15"/>
  <c r="L37" i="15"/>
  <c r="S37" i="15"/>
  <c r="L38" i="15"/>
  <c r="S38" i="15"/>
  <c r="L39" i="15"/>
  <c r="M39" i="15"/>
  <c r="S39" i="15"/>
  <c r="L40" i="15"/>
  <c r="M40" i="15"/>
  <c r="S40" i="15"/>
  <c r="L41" i="15"/>
  <c r="S41" i="15"/>
  <c r="L42" i="15"/>
  <c r="M42" i="15"/>
  <c r="O42" i="15" s="1"/>
  <c r="S42" i="15"/>
  <c r="M43" i="15"/>
  <c r="O43" i="15" s="1"/>
  <c r="P43" i="15" s="1"/>
  <c r="M45" i="15"/>
  <c r="O45" i="15"/>
  <c r="P45" i="15" s="1"/>
  <c r="M47" i="15"/>
  <c r="O47" i="15" s="1"/>
  <c r="P47" i="15" s="1"/>
  <c r="G34" i="15"/>
  <c r="I34" i="15"/>
  <c r="K34" i="15"/>
  <c r="M37" i="15"/>
  <c r="O37" i="15"/>
  <c r="X24" i="15"/>
  <c r="X20" i="15"/>
  <c r="Q20" i="15"/>
  <c r="R20" i="15"/>
  <c r="X12" i="15"/>
  <c r="R12" i="15"/>
  <c r="Q12" i="15"/>
  <c r="Q45" i="15"/>
  <c r="Q28" i="15"/>
  <c r="V28" i="15"/>
  <c r="X28" i="15" s="1"/>
  <c r="V22" i="15"/>
  <c r="X22" i="15" s="1"/>
  <c r="V16" i="15"/>
  <c r="X16" i="15"/>
  <c r="R16" i="15"/>
  <c r="R48" i="15"/>
  <c r="P42" i="15"/>
  <c r="O40" i="15"/>
  <c r="P40" i="15"/>
  <c r="V40" i="15" s="1"/>
  <c r="L49" i="15"/>
  <c r="O7" i="15"/>
  <c r="Q30" i="15"/>
  <c r="R30" i="15" s="1"/>
  <c r="V30" i="15"/>
  <c r="X30" i="15" s="1"/>
  <c r="P7" i="15"/>
  <c r="X40" i="15"/>
  <c r="Q7" i="15"/>
  <c r="R7" i="15"/>
  <c r="K174" i="16"/>
  <c r="D174" i="16"/>
  <c r="M174" i="16"/>
  <c r="G20" i="16"/>
  <c r="G40" i="16"/>
  <c r="G52" i="16"/>
  <c r="E85" i="16"/>
  <c r="R7" i="16"/>
  <c r="R9" i="16"/>
  <c r="G21" i="19"/>
  <c r="E93" i="19"/>
  <c r="R7" i="19"/>
  <c r="R9" i="19"/>
  <c r="G15" i="20"/>
  <c r="G23" i="20"/>
  <c r="R8" i="19"/>
  <c r="P6" i="19"/>
  <c r="V55" i="19" s="1"/>
  <c r="AG55" i="19" s="1"/>
  <c r="R180" i="19"/>
  <c r="L185" i="19"/>
  <c r="D25" i="18"/>
  <c r="S7" i="18"/>
  <c r="L7" i="18"/>
  <c r="S9" i="18"/>
  <c r="L9" i="18"/>
  <c r="M9" i="18" s="1"/>
  <c r="S11" i="18"/>
  <c r="L11" i="18"/>
  <c r="M11" i="18"/>
  <c r="O11" i="18" s="1"/>
  <c r="P11" i="18" s="1"/>
  <c r="S13" i="18"/>
  <c r="L13" i="18"/>
  <c r="M13" i="18" s="1"/>
  <c r="S15" i="18"/>
  <c r="L15" i="18"/>
  <c r="M15" i="18" s="1"/>
  <c r="O15" i="18" s="1"/>
  <c r="P15" i="18" s="1"/>
  <c r="S17" i="18"/>
  <c r="O17" i="18"/>
  <c r="P17" i="18"/>
  <c r="L17" i="18"/>
  <c r="M17" i="18" s="1"/>
  <c r="S19" i="18"/>
  <c r="L19" i="18"/>
  <c r="M19" i="18"/>
  <c r="S21" i="18"/>
  <c r="O21" i="18"/>
  <c r="P21" i="18" s="1"/>
  <c r="L21" i="18"/>
  <c r="M21" i="18" s="1"/>
  <c r="S23" i="18"/>
  <c r="L23" i="18"/>
  <c r="M23" i="18" s="1"/>
  <c r="O23" i="18" s="1"/>
  <c r="P23" i="18" s="1"/>
  <c r="B55" i="18"/>
  <c r="B34" i="18"/>
  <c r="S27" i="18"/>
  <c r="S32" i="18" s="1"/>
  <c r="L27" i="18"/>
  <c r="D49" i="18"/>
  <c r="S37" i="18"/>
  <c r="S49" i="18" s="1"/>
  <c r="L37" i="18"/>
  <c r="O28" i="18"/>
  <c r="P28" i="18" s="1"/>
  <c r="M29" i="18"/>
  <c r="O29" i="18" s="1"/>
  <c r="P29" i="18" s="1"/>
  <c r="M30" i="18"/>
  <c r="O30" i="18" s="1"/>
  <c r="P30" i="18" s="1"/>
  <c r="M31" i="18"/>
  <c r="O31" i="18" s="1"/>
  <c r="P31" i="18" s="1"/>
  <c r="I34" i="18"/>
  <c r="S8" i="18"/>
  <c r="L8" i="18"/>
  <c r="M8" i="18"/>
  <c r="O8" i="18" s="1"/>
  <c r="S10" i="18"/>
  <c r="L10" i="18"/>
  <c r="M10" i="18" s="1"/>
  <c r="O10" i="18" s="1"/>
  <c r="P10" i="18" s="1"/>
  <c r="S12" i="18"/>
  <c r="L12" i="18"/>
  <c r="M12" i="18" s="1"/>
  <c r="S14" i="18"/>
  <c r="L14" i="18"/>
  <c r="O14" i="18" s="1"/>
  <c r="P14" i="18" s="1"/>
  <c r="M14" i="18"/>
  <c r="S16" i="18"/>
  <c r="L16" i="18"/>
  <c r="M16" i="18"/>
  <c r="S18" i="18"/>
  <c r="L18" i="18"/>
  <c r="M18" i="18" s="1"/>
  <c r="S20" i="18"/>
  <c r="L20" i="18"/>
  <c r="M20" i="18" s="1"/>
  <c r="S22" i="18"/>
  <c r="L22" i="18"/>
  <c r="M22" i="18"/>
  <c r="O22" i="18" s="1"/>
  <c r="P22" i="18" s="1"/>
  <c r="S24" i="18"/>
  <c r="L24" i="18"/>
  <c r="M24" i="18"/>
  <c r="O24" i="18" s="1"/>
  <c r="P24" i="18" s="1"/>
  <c r="D32" i="18"/>
  <c r="G34" i="18"/>
  <c r="K34" i="18"/>
  <c r="M37" i="18"/>
  <c r="O46" i="18"/>
  <c r="P46" i="18"/>
  <c r="L38" i="18"/>
  <c r="M38" i="18" s="1"/>
  <c r="L39" i="18"/>
  <c r="M39" i="18"/>
  <c r="L40" i="18"/>
  <c r="L41" i="18"/>
  <c r="M41" i="18"/>
  <c r="L42" i="18"/>
  <c r="M42" i="18" s="1"/>
  <c r="L48" i="18"/>
  <c r="M48" i="18"/>
  <c r="H185" i="19"/>
  <c r="V46" i="18"/>
  <c r="X46" i="18" s="1"/>
  <c r="R46" i="18"/>
  <c r="Q46" i="18"/>
  <c r="L32" i="18"/>
  <c r="M27" i="18"/>
  <c r="B61" i="18"/>
  <c r="B62" i="18"/>
  <c r="D55" i="18"/>
  <c r="D34" i="18"/>
  <c r="O16" i="18"/>
  <c r="P16" i="18" s="1"/>
  <c r="O19" i="18"/>
  <c r="P19" i="18" s="1"/>
  <c r="Q17" i="18"/>
  <c r="R17" i="18" s="1"/>
  <c r="V17" i="18"/>
  <c r="X17" i="18" s="1"/>
  <c r="L25" i="18"/>
  <c r="M7" i="18"/>
  <c r="O37" i="18"/>
  <c r="S25" i="18"/>
  <c r="S34" i="18" s="1"/>
  <c r="O7" i="18"/>
  <c r="P7" i="18" s="1"/>
  <c r="P37" i="18"/>
  <c r="L34" i="18"/>
  <c r="O27" i="18"/>
  <c r="O32" i="18" s="1"/>
  <c r="Q37" i="18"/>
  <c r="R37" i="18"/>
  <c r="W61" i="19"/>
  <c r="AH61" i="19" s="1"/>
  <c r="AD69" i="19"/>
  <c r="AE69" i="19" s="1"/>
  <c r="AD67" i="19"/>
  <c r="AE67" i="19" s="1"/>
  <c r="AD64" i="19"/>
  <c r="AE64" i="19" s="1"/>
  <c r="W60" i="19"/>
  <c r="AH60" i="19" s="1"/>
  <c r="W69" i="19"/>
  <c r="AH69" i="19" s="1"/>
  <c r="AD73" i="19"/>
  <c r="AE73" i="19" s="1"/>
  <c r="AD72" i="19"/>
  <c r="AE72" i="19" s="1"/>
  <c r="W70" i="19"/>
  <c r="W67" i="19"/>
  <c r="W72" i="19"/>
  <c r="AD66" i="19"/>
  <c r="AE66" i="19" s="1"/>
  <c r="D15" i="17" l="1"/>
  <c r="D23" i="17" s="1"/>
  <c r="D18" i="17"/>
  <c r="C10" i="17"/>
  <c r="C18" i="20"/>
  <c r="C15" i="20"/>
  <c r="C23" i="20" s="1"/>
  <c r="D10" i="20"/>
  <c r="D15" i="20" s="1"/>
  <c r="D23" i="20" s="1"/>
  <c r="Q15" i="18"/>
  <c r="R15" i="18"/>
  <c r="V15" i="18"/>
  <c r="X15" i="18" s="1"/>
  <c r="R10" i="15"/>
  <c r="Q24" i="18"/>
  <c r="R24" i="18" s="1"/>
  <c r="V24" i="18"/>
  <c r="X24" i="18" s="1"/>
  <c r="P8" i="18"/>
  <c r="Q31" i="18"/>
  <c r="V31" i="18"/>
  <c r="X31" i="18" s="1"/>
  <c r="R31" i="18"/>
  <c r="Q23" i="18"/>
  <c r="R23" i="18"/>
  <c r="V23" i="18"/>
  <c r="X23" i="18" s="1"/>
  <c r="Q19" i="18"/>
  <c r="R19" i="18"/>
  <c r="V19" i="18"/>
  <c r="X19" i="18" s="1"/>
  <c r="R30" i="18"/>
  <c r="V30" i="18"/>
  <c r="X30" i="18" s="1"/>
  <c r="Q30" i="18"/>
  <c r="Q22" i="18"/>
  <c r="R22" i="18" s="1"/>
  <c r="V22" i="18"/>
  <c r="X22" i="18" s="1"/>
  <c r="Q28" i="18"/>
  <c r="R28" i="18" s="1"/>
  <c r="V28" i="18"/>
  <c r="X28" i="18" s="1"/>
  <c r="Q11" i="18"/>
  <c r="R11" i="18"/>
  <c r="V11" i="18"/>
  <c r="X11" i="18" s="1"/>
  <c r="M25" i="18"/>
  <c r="R7" i="18"/>
  <c r="Q7" i="18"/>
  <c r="V7" i="18"/>
  <c r="L55" i="18"/>
  <c r="R16" i="18"/>
  <c r="Q16" i="18"/>
  <c r="V16" i="18"/>
  <c r="X16" i="18" s="1"/>
  <c r="Q14" i="18"/>
  <c r="R14" i="18" s="1"/>
  <c r="V14" i="18"/>
  <c r="X14" i="18" s="1"/>
  <c r="Q10" i="18"/>
  <c r="R10" i="18" s="1"/>
  <c r="V10" i="18"/>
  <c r="X10" i="18" s="1"/>
  <c r="Q29" i="18"/>
  <c r="R29" i="18" s="1"/>
  <c r="V29" i="18"/>
  <c r="X29" i="18" s="1"/>
  <c r="R21" i="18"/>
  <c r="Q21" i="18"/>
  <c r="V21" i="18"/>
  <c r="X21" i="18" s="1"/>
  <c r="Q47" i="15"/>
  <c r="R47" i="15" s="1"/>
  <c r="V47" i="15"/>
  <c r="X47" i="15" s="1"/>
  <c r="P27" i="18"/>
  <c r="V37" i="18"/>
  <c r="L49" i="18"/>
  <c r="O12" i="18"/>
  <c r="P12" i="18" s="1"/>
  <c r="P25" i="18" s="1"/>
  <c r="O20" i="18"/>
  <c r="P20" i="18" s="1"/>
  <c r="O41" i="18"/>
  <c r="P41" i="18" s="1"/>
  <c r="O9" i="18"/>
  <c r="P9" i="18" s="1"/>
  <c r="R6" i="19"/>
  <c r="R22" i="15"/>
  <c r="Q22" i="15"/>
  <c r="M32" i="18"/>
  <c r="S55" i="18"/>
  <c r="V64" i="18" s="1"/>
  <c r="P56" i="19" s="1"/>
  <c r="O42" i="18"/>
  <c r="P42" i="18" s="1"/>
  <c r="O38" i="18"/>
  <c r="O18" i="18"/>
  <c r="P18" i="18" s="1"/>
  <c r="O13" i="18"/>
  <c r="P13" i="18" s="1"/>
  <c r="H15" i="20"/>
  <c r="H23" i="20" s="1"/>
  <c r="H24" i="20"/>
  <c r="V42" i="15"/>
  <c r="X42" i="15" s="1"/>
  <c r="R42" i="15"/>
  <c r="Q42" i="15"/>
  <c r="V10" i="15"/>
  <c r="X10" i="15" s="1"/>
  <c r="Q10" i="15"/>
  <c r="Q28" i="1"/>
  <c r="R28" i="1" s="1"/>
  <c r="V28" i="1"/>
  <c r="X28" i="1" s="1"/>
  <c r="R19" i="1"/>
  <c r="V19" i="1"/>
  <c r="X19" i="1" s="1"/>
  <c r="Q19" i="1"/>
  <c r="V18" i="15"/>
  <c r="X18" i="15" s="1"/>
  <c r="Q18" i="15"/>
  <c r="R18" i="15" s="1"/>
  <c r="P3" i="19"/>
  <c r="P3" i="16"/>
  <c r="O48" i="18"/>
  <c r="P48" i="18" s="1"/>
  <c r="M40" i="18"/>
  <c r="M49" i="18" s="1"/>
  <c r="O39" i="18"/>
  <c r="P39" i="18" s="1"/>
  <c r="P37" i="15"/>
  <c r="Q43" i="15"/>
  <c r="R43" i="15" s="1"/>
  <c r="V43" i="15"/>
  <c r="X43" i="15" s="1"/>
  <c r="V14" i="15"/>
  <c r="X14" i="15" s="1"/>
  <c r="Q14" i="15"/>
  <c r="R14" i="15" s="1"/>
  <c r="R45" i="15"/>
  <c r="R28" i="15"/>
  <c r="Q18" i="1"/>
  <c r="R18" i="1" s="1"/>
  <c r="V18" i="1"/>
  <c r="X18" i="1" s="1"/>
  <c r="R39" i="1"/>
  <c r="V39" i="1"/>
  <c r="X39" i="1" s="1"/>
  <c r="Q39" i="1"/>
  <c r="E174" i="16"/>
  <c r="M41" i="15"/>
  <c r="O41" i="15" s="1"/>
  <c r="P41" i="15" s="1"/>
  <c r="O23" i="15"/>
  <c r="P23" i="15" s="1"/>
  <c r="O19" i="15"/>
  <c r="P19" i="15" s="1"/>
  <c r="O15" i="15"/>
  <c r="P15" i="15" s="1"/>
  <c r="O11" i="15"/>
  <c r="P11" i="15" s="1"/>
  <c r="O3" i="19"/>
  <c r="O3" i="16"/>
  <c r="D34" i="1"/>
  <c r="Q14" i="1"/>
  <c r="R14" i="1" s="1"/>
  <c r="V14" i="1"/>
  <c r="X14" i="1" s="1"/>
  <c r="Q12" i="1"/>
  <c r="R12" i="1"/>
  <c r="V12" i="1"/>
  <c r="X12" i="1" s="1"/>
  <c r="Q10" i="1"/>
  <c r="R10" i="1" s="1"/>
  <c r="V10" i="1"/>
  <c r="X10" i="1" s="1"/>
  <c r="L9" i="1"/>
  <c r="M9" i="1" s="1"/>
  <c r="S9" i="1"/>
  <c r="O13" i="1"/>
  <c r="P13" i="1" s="1"/>
  <c r="M13" i="1"/>
  <c r="S13" i="1"/>
  <c r="L13" i="1"/>
  <c r="S17" i="1"/>
  <c r="L17" i="1"/>
  <c r="M17" i="1" s="1"/>
  <c r="L21" i="1"/>
  <c r="O21" i="1" s="1"/>
  <c r="P21" i="1" s="1"/>
  <c r="S21" i="1"/>
  <c r="M21" i="1"/>
  <c r="D32" i="1"/>
  <c r="D55" i="1" s="1"/>
  <c r="M29" i="1"/>
  <c r="O29" i="1" s="1"/>
  <c r="P29" i="1" s="1"/>
  <c r="S29" i="1"/>
  <c r="L38" i="1"/>
  <c r="S38" i="1"/>
  <c r="M38" i="1"/>
  <c r="M49" i="1" s="1"/>
  <c r="L48" i="1"/>
  <c r="M48" i="1" s="1"/>
  <c r="O48" i="1" s="1"/>
  <c r="P48" i="1" s="1"/>
  <c r="S48" i="1"/>
  <c r="Q44" i="1"/>
  <c r="V44" i="1"/>
  <c r="X44" i="1" s="1"/>
  <c r="R44" i="1"/>
  <c r="Q46" i="15"/>
  <c r="R46" i="15" s="1"/>
  <c r="V46" i="15"/>
  <c r="X46" i="15" s="1"/>
  <c r="V7" i="15"/>
  <c r="Q40" i="15"/>
  <c r="R40" i="15" s="1"/>
  <c r="V45" i="15"/>
  <c r="X45" i="15" s="1"/>
  <c r="Q24" i="15"/>
  <c r="R24" i="15" s="1"/>
  <c r="M38" i="15"/>
  <c r="O38" i="15" s="1"/>
  <c r="L32" i="15"/>
  <c r="Q42" i="1"/>
  <c r="R42" i="1"/>
  <c r="G37" i="13"/>
  <c r="E157" i="13"/>
  <c r="K55" i="1"/>
  <c r="K34" i="1"/>
  <c r="H34" i="1"/>
  <c r="H55" i="1"/>
  <c r="L32" i="1"/>
  <c r="M27" i="1"/>
  <c r="Q16" i="1"/>
  <c r="R16" i="1"/>
  <c r="V16" i="1"/>
  <c r="X16" i="1" s="1"/>
  <c r="S9" i="15"/>
  <c r="S25" i="15" s="1"/>
  <c r="L9" i="15"/>
  <c r="D25" i="15"/>
  <c r="S13" i="15"/>
  <c r="L13" i="15"/>
  <c r="S17" i="15"/>
  <c r="L17" i="15"/>
  <c r="S21" i="15"/>
  <c r="L21" i="15"/>
  <c r="D32" i="15"/>
  <c r="S27" i="15"/>
  <c r="S32" i="15" s="1"/>
  <c r="M27" i="15"/>
  <c r="O8" i="15"/>
  <c r="Q30" i="1"/>
  <c r="R30" i="1"/>
  <c r="Q46" i="1"/>
  <c r="V46" i="1"/>
  <c r="X46" i="1" s="1"/>
  <c r="R46" i="1"/>
  <c r="R47" i="1"/>
  <c r="V47" i="1"/>
  <c r="X47" i="1" s="1"/>
  <c r="V37" i="1"/>
  <c r="L25" i="1"/>
  <c r="M7" i="1"/>
  <c r="Q24" i="1"/>
  <c r="R24" i="1" s="1"/>
  <c r="V24" i="1"/>
  <c r="X24" i="1" s="1"/>
  <c r="M43" i="1"/>
  <c r="O43" i="1" s="1"/>
  <c r="P43" i="1" s="1"/>
  <c r="L41" i="1"/>
  <c r="M41" i="1" s="1"/>
  <c r="S41" i="1"/>
  <c r="Q47" i="1"/>
  <c r="O39" i="15"/>
  <c r="P39" i="15" s="1"/>
  <c r="O23" i="1"/>
  <c r="P23" i="1" s="1"/>
  <c r="J34" i="1"/>
  <c r="J55" i="1"/>
  <c r="S32" i="1"/>
  <c r="O22" i="1"/>
  <c r="P22" i="1" s="1"/>
  <c r="M45" i="1"/>
  <c r="O45" i="1" s="1"/>
  <c r="P45" i="1" s="1"/>
  <c r="Q37" i="1"/>
  <c r="R37" i="1" s="1"/>
  <c r="H24" i="17"/>
  <c r="H21" i="17"/>
  <c r="H25" i="17" s="1"/>
  <c r="O11" i="1"/>
  <c r="P11" i="1" s="1"/>
  <c r="S11" i="1"/>
  <c r="O15" i="1"/>
  <c r="P15" i="1" s="1"/>
  <c r="S15" i="1"/>
  <c r="O40" i="1"/>
  <c r="P40" i="1" s="1"/>
  <c r="O7" i="1"/>
  <c r="O44" i="18"/>
  <c r="P44" i="18" s="1"/>
  <c r="M44" i="18"/>
  <c r="M8" i="1"/>
  <c r="O8" i="1" s="1"/>
  <c r="P8" i="1" s="1"/>
  <c r="O20" i="1"/>
  <c r="P20" i="1" s="1"/>
  <c r="O27" i="1"/>
  <c r="B55" i="1"/>
  <c r="G19" i="13"/>
  <c r="G55" i="15"/>
  <c r="K55" i="15"/>
  <c r="L29" i="15"/>
  <c r="M29" i="15"/>
  <c r="O29" i="15" s="1"/>
  <c r="P29" i="15" s="1"/>
  <c r="F7" i="20"/>
  <c r="F10" i="20" s="1"/>
  <c r="F7" i="17"/>
  <c r="B7" i="17" s="1"/>
  <c r="B10" i="17" s="1"/>
  <c r="O31" i="1"/>
  <c r="P31" i="1" s="1"/>
  <c r="D49" i="1"/>
  <c r="L31" i="15"/>
  <c r="S48" i="15"/>
  <c r="G24" i="17"/>
  <c r="G21" i="17"/>
  <c r="G25" i="17" s="1"/>
  <c r="X70" i="16"/>
  <c r="F34" i="18"/>
  <c r="F55" i="18"/>
  <c r="E145" i="19"/>
  <c r="E185" i="19" s="1"/>
  <c r="D185" i="19"/>
  <c r="M126" i="19"/>
  <c r="M185" i="19" s="1"/>
  <c r="J185" i="19"/>
  <c r="M145" i="19"/>
  <c r="K185" i="19"/>
  <c r="AL61" i="19"/>
  <c r="AE61" i="19"/>
  <c r="H34" i="18"/>
  <c r="H55" i="18"/>
  <c r="G18" i="20"/>
  <c r="O43" i="18"/>
  <c r="P43" i="18" s="1"/>
  <c r="O45" i="18"/>
  <c r="P45" i="18" s="1"/>
  <c r="O47" i="18"/>
  <c r="P47" i="18" s="1"/>
  <c r="G15" i="17"/>
  <c r="G23" i="17" s="1"/>
  <c r="J14" i="33"/>
  <c r="K14" i="33" s="1"/>
  <c r="F10" i="17"/>
  <c r="W59" i="19"/>
  <c r="AH72" i="19"/>
  <c r="W71" i="19"/>
  <c r="AH71" i="19" s="1"/>
  <c r="W58" i="19"/>
  <c r="AH58" i="19" s="1"/>
  <c r="W66" i="19"/>
  <c r="AH66" i="19" s="1"/>
  <c r="AH67" i="19"/>
  <c r="AH70" i="19"/>
  <c r="B7" i="20"/>
  <c r="B10" i="20" s="1"/>
  <c r="C21" i="20" l="1"/>
  <c r="C25" i="20" s="1"/>
  <c r="C24" i="20"/>
  <c r="D18" i="20"/>
  <c r="C15" i="17"/>
  <c r="C23" i="17" s="1"/>
  <c r="C18" i="17"/>
  <c r="D21" i="17"/>
  <c r="D25" i="17" s="1"/>
  <c r="D24" i="17"/>
  <c r="V29" i="15"/>
  <c r="X29" i="15" s="1"/>
  <c r="Q29" i="15"/>
  <c r="R29" i="15" s="1"/>
  <c r="V45" i="1"/>
  <c r="X45" i="1" s="1"/>
  <c r="Q45" i="1"/>
  <c r="R45" i="1" s="1"/>
  <c r="Q48" i="1"/>
  <c r="R48" i="1" s="1"/>
  <c r="V48" i="1"/>
  <c r="X48" i="1" s="1"/>
  <c r="V41" i="15"/>
  <c r="X41" i="15" s="1"/>
  <c r="Q41" i="15"/>
  <c r="R41" i="15" s="1"/>
  <c r="R43" i="1"/>
  <c r="Q43" i="1"/>
  <c r="V43" i="1"/>
  <c r="X43" i="1" s="1"/>
  <c r="P38" i="15"/>
  <c r="O49" i="15"/>
  <c r="Q29" i="1"/>
  <c r="V29" i="1"/>
  <c r="X29" i="1" s="1"/>
  <c r="R29" i="1"/>
  <c r="R21" i="1"/>
  <c r="V21" i="1"/>
  <c r="X21" i="1" s="1"/>
  <c r="Q21" i="1"/>
  <c r="P34" i="18"/>
  <c r="D21" i="20"/>
  <c r="D25" i="20" s="1"/>
  <c r="D24" i="20"/>
  <c r="P7" i="1"/>
  <c r="L34" i="1"/>
  <c r="M17" i="15"/>
  <c r="O17" i="15"/>
  <c r="P17" i="15" s="1"/>
  <c r="Q41" i="18"/>
  <c r="R41" i="18"/>
  <c r="V41" i="18"/>
  <c r="X41" i="18" s="1"/>
  <c r="O25" i="18"/>
  <c r="Q45" i="18"/>
  <c r="R45" i="18" s="1"/>
  <c r="V45" i="18"/>
  <c r="X45" i="18" s="1"/>
  <c r="V48" i="15"/>
  <c r="X48" i="15" s="1"/>
  <c r="S49" i="15"/>
  <c r="Q31" i="1"/>
  <c r="R31" i="1" s="1"/>
  <c r="V31" i="1"/>
  <c r="X31" i="1" s="1"/>
  <c r="Q20" i="1"/>
  <c r="R20" i="1"/>
  <c r="V20" i="1"/>
  <c r="X20" i="1" s="1"/>
  <c r="Q40" i="1"/>
  <c r="R40" i="1" s="1"/>
  <c r="V40" i="1"/>
  <c r="X40" i="1" s="1"/>
  <c r="Q11" i="1"/>
  <c r="R11" i="1" s="1"/>
  <c r="V11" i="1"/>
  <c r="X11" i="1" s="1"/>
  <c r="Q39" i="15"/>
  <c r="R39" i="15" s="1"/>
  <c r="V39" i="15"/>
  <c r="X39" i="15" s="1"/>
  <c r="X37" i="1"/>
  <c r="M9" i="15"/>
  <c r="O9" i="15"/>
  <c r="P9" i="15" s="1"/>
  <c r="S49" i="1"/>
  <c r="O9" i="1"/>
  <c r="P9" i="1" s="1"/>
  <c r="V19" i="15"/>
  <c r="X19" i="15" s="1"/>
  <c r="Q19" i="15"/>
  <c r="R19" i="15" s="1"/>
  <c r="R48" i="18"/>
  <c r="Q48" i="18"/>
  <c r="V48" i="18"/>
  <c r="X48" i="18" s="1"/>
  <c r="Q18" i="18"/>
  <c r="R18" i="18" s="1"/>
  <c r="V18" i="18"/>
  <c r="X18" i="18" s="1"/>
  <c r="Q20" i="18"/>
  <c r="V20" i="18"/>
  <c r="X20" i="18" s="1"/>
  <c r="R20" i="18"/>
  <c r="R27" i="18"/>
  <c r="R32" i="18" s="1"/>
  <c r="P32" i="18"/>
  <c r="Q27" i="18"/>
  <c r="Q32" i="18" s="1"/>
  <c r="V27" i="18"/>
  <c r="P27" i="1"/>
  <c r="O32" i="1"/>
  <c r="D34" i="15"/>
  <c r="D55" i="15"/>
  <c r="V60" i="19"/>
  <c r="R56" i="19"/>
  <c r="M34" i="18"/>
  <c r="M55" i="18"/>
  <c r="R43" i="18"/>
  <c r="Q43" i="18"/>
  <c r="V43" i="18"/>
  <c r="X43" i="18" s="1"/>
  <c r="Q8" i="1"/>
  <c r="R8" i="1" s="1"/>
  <c r="V8" i="1"/>
  <c r="X8" i="1" s="1"/>
  <c r="L25" i="15"/>
  <c r="O41" i="1"/>
  <c r="P41" i="1" s="1"/>
  <c r="P8" i="15"/>
  <c r="M21" i="15"/>
  <c r="O21" i="15" s="1"/>
  <c r="M13" i="15"/>
  <c r="O13" i="15"/>
  <c r="P13" i="15" s="1"/>
  <c r="S34" i="15"/>
  <c r="S55" i="15"/>
  <c r="V64" i="15" s="1"/>
  <c r="P52" i="16" s="1"/>
  <c r="M32" i="1"/>
  <c r="M49" i="15"/>
  <c r="X7" i="15"/>
  <c r="L49" i="1"/>
  <c r="L55" i="1" s="1"/>
  <c r="O38" i="1"/>
  <c r="O17" i="1"/>
  <c r="P17" i="1" s="1"/>
  <c r="R13" i="1"/>
  <c r="Q13" i="1"/>
  <c r="V13" i="1"/>
  <c r="X13" i="1" s="1"/>
  <c r="V23" i="15"/>
  <c r="X23" i="15" s="1"/>
  <c r="R23" i="15"/>
  <c r="Q23" i="15"/>
  <c r="Q37" i="15"/>
  <c r="R37" i="15" s="1"/>
  <c r="P49" i="15"/>
  <c r="V37" i="15"/>
  <c r="O49" i="18"/>
  <c r="P38" i="18"/>
  <c r="O40" i="18"/>
  <c r="P40" i="18" s="1"/>
  <c r="Q12" i="18"/>
  <c r="V12" i="18"/>
  <c r="X12" i="18" s="1"/>
  <c r="R12" i="18"/>
  <c r="X7" i="18"/>
  <c r="Q47" i="18"/>
  <c r="R47" i="18" s="1"/>
  <c r="V47" i="18"/>
  <c r="X47" i="18" s="1"/>
  <c r="R44" i="18"/>
  <c r="Q44" i="18"/>
  <c r="V44" i="18"/>
  <c r="X44" i="18" s="1"/>
  <c r="V15" i="15"/>
  <c r="X15" i="15" s="1"/>
  <c r="Q15" i="15"/>
  <c r="R15" i="15" s="1"/>
  <c r="V13" i="18"/>
  <c r="X13" i="18" s="1"/>
  <c r="Q13" i="18"/>
  <c r="R13" i="18" s="1"/>
  <c r="X37" i="18"/>
  <c r="O56" i="19"/>
  <c r="G21" i="20"/>
  <c r="G25" i="20" s="1"/>
  <c r="G24" i="20"/>
  <c r="M31" i="15"/>
  <c r="O31" i="15" s="1"/>
  <c r="P31" i="15" s="1"/>
  <c r="B62" i="1"/>
  <c r="B61" i="1"/>
  <c r="R15" i="1"/>
  <c r="Q15" i="1"/>
  <c r="V15" i="1"/>
  <c r="X15" i="1" s="1"/>
  <c r="Q22" i="1"/>
  <c r="R22" i="1" s="1"/>
  <c r="V22" i="1"/>
  <c r="X22" i="1" s="1"/>
  <c r="R23" i="1"/>
  <c r="Q23" i="1"/>
  <c r="V23" i="1"/>
  <c r="X23" i="1" s="1"/>
  <c r="M25" i="1"/>
  <c r="M32" i="15"/>
  <c r="O27" i="15"/>
  <c r="S25" i="1"/>
  <c r="V11" i="15"/>
  <c r="X11" i="15" s="1"/>
  <c r="Q11" i="15"/>
  <c r="R11" i="15" s="1"/>
  <c r="R39" i="18"/>
  <c r="Q39" i="18"/>
  <c r="V39" i="18"/>
  <c r="X39" i="18" s="1"/>
  <c r="Q42" i="18"/>
  <c r="R42" i="18" s="1"/>
  <c r="V42" i="18"/>
  <c r="X42" i="18" s="1"/>
  <c r="R9" i="18"/>
  <c r="V9" i="18"/>
  <c r="X9" i="18" s="1"/>
  <c r="Q9" i="18"/>
  <c r="R8" i="18"/>
  <c r="R25" i="18" s="1"/>
  <c r="Q8" i="18"/>
  <c r="Q25" i="18" s="1"/>
  <c r="V8" i="18"/>
  <c r="X8" i="18" s="1"/>
  <c r="AH59" i="19"/>
  <c r="AD65" i="19"/>
  <c r="AD74" i="19"/>
  <c r="W64" i="19"/>
  <c r="W73" i="19"/>
  <c r="AH73" i="19" s="1"/>
  <c r="I12" i="33" l="1"/>
  <c r="C24" i="17"/>
  <c r="C21" i="17"/>
  <c r="C25" i="17" s="1"/>
  <c r="V31" i="15"/>
  <c r="X31" i="15" s="1"/>
  <c r="Q31" i="15"/>
  <c r="R31" i="15" s="1"/>
  <c r="P21" i="15"/>
  <c r="O25" i="15"/>
  <c r="R34" i="18"/>
  <c r="Q34" i="18"/>
  <c r="P38" i="1"/>
  <c r="O49" i="1"/>
  <c r="V13" i="15"/>
  <c r="X13" i="15" s="1"/>
  <c r="Q13" i="15"/>
  <c r="R13" i="15"/>
  <c r="V32" i="18"/>
  <c r="X27" i="18"/>
  <c r="X32" i="18" s="1"/>
  <c r="Q9" i="1"/>
  <c r="R9" i="1" s="1"/>
  <c r="V9" i="1"/>
  <c r="X9" i="1" s="1"/>
  <c r="V17" i="15"/>
  <c r="X17" i="15" s="1"/>
  <c r="Q17" i="15"/>
  <c r="R17" i="15" s="1"/>
  <c r="O25" i="1"/>
  <c r="M34" i="1"/>
  <c r="M55" i="1"/>
  <c r="X25" i="18"/>
  <c r="V8" i="15"/>
  <c r="R8" i="15"/>
  <c r="Q8" i="15"/>
  <c r="P25" i="15"/>
  <c r="P25" i="1"/>
  <c r="Q7" i="1"/>
  <c r="Q25" i="1" s="1"/>
  <c r="V7" i="1"/>
  <c r="V38" i="15"/>
  <c r="X38" i="15" s="1"/>
  <c r="Q38" i="15"/>
  <c r="R38" i="15" s="1"/>
  <c r="R49" i="15" s="1"/>
  <c r="S34" i="1"/>
  <c r="S55" i="1"/>
  <c r="V64" i="1" s="1"/>
  <c r="V25" i="18"/>
  <c r="Q40" i="18"/>
  <c r="R40" i="18" s="1"/>
  <c r="V40" i="18"/>
  <c r="X40" i="18" s="1"/>
  <c r="X37" i="15"/>
  <c r="R52" i="16"/>
  <c r="O52" i="16"/>
  <c r="R41" i="1"/>
  <c r="V41" i="1"/>
  <c r="X41" i="1" s="1"/>
  <c r="Q41" i="1"/>
  <c r="Q9" i="15"/>
  <c r="R9" i="15" s="1"/>
  <c r="V9" i="15"/>
  <c r="X9" i="15" s="1"/>
  <c r="G3" i="19"/>
  <c r="G3" i="16"/>
  <c r="G3" i="13"/>
  <c r="Q49" i="15"/>
  <c r="O32" i="15"/>
  <c r="P27" i="15"/>
  <c r="H3" i="13"/>
  <c r="H3" i="19"/>
  <c r="H3" i="16"/>
  <c r="Q38" i="18"/>
  <c r="Q49" i="18" s="1"/>
  <c r="Q55" i="18" s="1"/>
  <c r="V62" i="18" s="1"/>
  <c r="R38" i="18"/>
  <c r="P49" i="18"/>
  <c r="P55" i="18" s="1"/>
  <c r="V38" i="18"/>
  <c r="Q17" i="1"/>
  <c r="R17" i="1" s="1"/>
  <c r="V17" i="1"/>
  <c r="X17" i="1" s="1"/>
  <c r="L55" i="15"/>
  <c r="L34" i="15"/>
  <c r="X60" i="19"/>
  <c r="AG60" i="19"/>
  <c r="AI60" i="19" s="1"/>
  <c r="Q27" i="1"/>
  <c r="Q32" i="1" s="1"/>
  <c r="V27" i="1"/>
  <c r="P32" i="1"/>
  <c r="M25" i="15"/>
  <c r="O55" i="18"/>
  <c r="O34" i="18"/>
  <c r="H8" i="33"/>
  <c r="AH64" i="19"/>
  <c r="W65" i="19"/>
  <c r="W74" i="19"/>
  <c r="AH74" i="19" s="1"/>
  <c r="AD55" i="19"/>
  <c r="AE55" i="19" s="1"/>
  <c r="AD77" i="19"/>
  <c r="H12" i="33" l="1"/>
  <c r="G22" i="33"/>
  <c r="H17" i="33"/>
  <c r="P21" i="19"/>
  <c r="P80" i="16"/>
  <c r="P69" i="16"/>
  <c r="P95" i="16"/>
  <c r="P115" i="16"/>
  <c r="P139" i="16"/>
  <c r="P73" i="16"/>
  <c r="P104" i="16"/>
  <c r="P132" i="16"/>
  <c r="P54" i="16"/>
  <c r="P89" i="16"/>
  <c r="P127" i="16"/>
  <c r="P63" i="16"/>
  <c r="R63" i="16" s="1"/>
  <c r="P131" i="16"/>
  <c r="P98" i="16"/>
  <c r="R98" i="16" s="1"/>
  <c r="H88" i="16"/>
  <c r="H106" i="16"/>
  <c r="H124" i="16"/>
  <c r="H151" i="16"/>
  <c r="P134" i="16"/>
  <c r="H61" i="16"/>
  <c r="H71" i="16"/>
  <c r="H89" i="16"/>
  <c r="R89" i="16" s="1"/>
  <c r="H110" i="16"/>
  <c r="H129" i="16"/>
  <c r="P96" i="16"/>
  <c r="P59" i="16"/>
  <c r="P100" i="16"/>
  <c r="P148" i="16"/>
  <c r="P65" i="16"/>
  <c r="P108" i="16"/>
  <c r="AC90" i="19" s="1"/>
  <c r="AC92" i="19" s="1"/>
  <c r="P153" i="16"/>
  <c r="P122" i="16"/>
  <c r="P76" i="16"/>
  <c r="R76" i="16" s="1"/>
  <c r="P149" i="16"/>
  <c r="P88" i="16"/>
  <c r="R88" i="16" s="1"/>
  <c r="H98" i="16"/>
  <c r="H120" i="16"/>
  <c r="H169" i="16"/>
  <c r="R169" i="16" s="1"/>
  <c r="P94" i="16"/>
  <c r="H59" i="16"/>
  <c r="H73" i="16"/>
  <c r="H101" i="16"/>
  <c r="H123" i="16"/>
  <c r="P147" i="16"/>
  <c r="P121" i="16"/>
  <c r="P70" i="16"/>
  <c r="R70" i="16" s="1"/>
  <c r="H102" i="16"/>
  <c r="H130" i="16"/>
  <c r="P114" i="16"/>
  <c r="H65" i="16"/>
  <c r="R65" i="16" s="1"/>
  <c r="H75" i="16"/>
  <c r="H105" i="16"/>
  <c r="H134" i="16"/>
  <c r="R134" i="16" s="1"/>
  <c r="P112" i="16"/>
  <c r="P60" i="16"/>
  <c r="H111" i="16"/>
  <c r="H135" i="16"/>
  <c r="P56" i="16"/>
  <c r="H115" i="16"/>
  <c r="R115" i="16" s="1"/>
  <c r="H54" i="16"/>
  <c r="H85" i="16"/>
  <c r="H145" i="16"/>
  <c r="P116" i="16"/>
  <c r="H119" i="16"/>
  <c r="P85" i="16"/>
  <c r="H146" i="16"/>
  <c r="H57" i="16"/>
  <c r="H95" i="16"/>
  <c r="R95" i="16" s="1"/>
  <c r="H149" i="16"/>
  <c r="P66" i="16"/>
  <c r="P68" i="16"/>
  <c r="P113" i="16"/>
  <c r="P103" i="16"/>
  <c r="H67" i="16"/>
  <c r="H114" i="16"/>
  <c r="H94" i="16"/>
  <c r="H69" i="16"/>
  <c r="P107" i="16"/>
  <c r="H147" i="16"/>
  <c r="R147" i="16" s="1"/>
  <c r="H121" i="16"/>
  <c r="R121" i="16" s="1"/>
  <c r="H103" i="16"/>
  <c r="R103" i="16" s="1"/>
  <c r="H77" i="16"/>
  <c r="H68" i="16"/>
  <c r="R68" i="16" s="1"/>
  <c r="H58" i="16"/>
  <c r="P105" i="16"/>
  <c r="R105" i="16" s="1"/>
  <c r="H137" i="16"/>
  <c r="H117" i="16"/>
  <c r="H100" i="16"/>
  <c r="R100" i="16" s="1"/>
  <c r="P62" i="16"/>
  <c r="P110" i="16"/>
  <c r="R110" i="16" s="1"/>
  <c r="P152" i="16"/>
  <c r="P77" i="16"/>
  <c r="P136" i="16"/>
  <c r="P135" i="16"/>
  <c r="R135" i="16" s="1"/>
  <c r="P111" i="16"/>
  <c r="R111" i="16" s="1"/>
  <c r="P93" i="16"/>
  <c r="P67" i="16"/>
  <c r="H97" i="16"/>
  <c r="H66" i="16"/>
  <c r="H56" i="16"/>
  <c r="H132" i="16"/>
  <c r="H113" i="16"/>
  <c r="P72" i="16"/>
  <c r="P119" i="16"/>
  <c r="R119" i="16" s="1"/>
  <c r="P117" i="16"/>
  <c r="H167" i="16"/>
  <c r="P106" i="16"/>
  <c r="R106" i="16" s="1"/>
  <c r="P87" i="16"/>
  <c r="P125" i="16"/>
  <c r="H107" i="16"/>
  <c r="H60" i="16"/>
  <c r="H148" i="16"/>
  <c r="H104" i="16"/>
  <c r="R104" i="16" s="1"/>
  <c r="P101" i="16"/>
  <c r="R101" i="16" s="1"/>
  <c r="P55" i="16"/>
  <c r="R55" i="16" s="1"/>
  <c r="P97" i="16"/>
  <c r="P71" i="16"/>
  <c r="R71" i="16" s="1"/>
  <c r="P86" i="16"/>
  <c r="R86" i="16" s="1"/>
  <c r="H139" i="16"/>
  <c r="R139" i="16" s="1"/>
  <c r="H116" i="16"/>
  <c r="R116" i="16" s="1"/>
  <c r="H74" i="16"/>
  <c r="P74" i="16"/>
  <c r="R74" i="16" s="1"/>
  <c r="H96" i="16"/>
  <c r="R96" i="16" s="1"/>
  <c r="P167" i="16"/>
  <c r="P130" i="16"/>
  <c r="R130" i="16" s="1"/>
  <c r="P61" i="16"/>
  <c r="R61" i="16" s="1"/>
  <c r="H136" i="16"/>
  <c r="H152" i="16"/>
  <c r="H70" i="16"/>
  <c r="H122" i="16"/>
  <c r="P137" i="16"/>
  <c r="P120" i="16"/>
  <c r="R120" i="16" s="1"/>
  <c r="P58" i="16"/>
  <c r="R58" i="16" s="1"/>
  <c r="H131" i="16"/>
  <c r="R131" i="16" s="1"/>
  <c r="H112" i="16"/>
  <c r="H93" i="16"/>
  <c r="H72" i="16"/>
  <c r="H62" i="16"/>
  <c r="P145" i="16"/>
  <c r="H153" i="16"/>
  <c r="R153" i="16" s="1"/>
  <c r="H127" i="16"/>
  <c r="H108" i="16"/>
  <c r="R108" i="16" s="1"/>
  <c r="H92" i="16"/>
  <c r="P92" i="16"/>
  <c r="R92" i="16" s="1"/>
  <c r="P129" i="16"/>
  <c r="R129" i="16" s="1"/>
  <c r="P90" i="16"/>
  <c r="R90" i="16" s="1"/>
  <c r="P151" i="16"/>
  <c r="P124" i="16"/>
  <c r="R124" i="16" s="1"/>
  <c r="P102" i="16"/>
  <c r="R102" i="16" s="1"/>
  <c r="P75" i="16"/>
  <c r="R75" i="16" s="1"/>
  <c r="P57" i="16"/>
  <c r="H125" i="16"/>
  <c r="H87" i="16"/>
  <c r="P123" i="16"/>
  <c r="R123" i="16" s="1"/>
  <c r="H86" i="16"/>
  <c r="P64" i="16"/>
  <c r="R64" i="16" s="1"/>
  <c r="P146" i="16"/>
  <c r="G62" i="16"/>
  <c r="G110" i="16"/>
  <c r="G129" i="16"/>
  <c r="G169" i="16"/>
  <c r="G71" i="16"/>
  <c r="G98" i="16"/>
  <c r="G72" i="16"/>
  <c r="G104" i="16"/>
  <c r="G134" i="16"/>
  <c r="G61" i="16"/>
  <c r="G94" i="16"/>
  <c r="G120" i="16"/>
  <c r="G151" i="16"/>
  <c r="G77" i="16"/>
  <c r="G119" i="16"/>
  <c r="G57" i="16"/>
  <c r="G103" i="16"/>
  <c r="G130" i="16"/>
  <c r="O55" i="16"/>
  <c r="O105" i="16"/>
  <c r="O127" i="16"/>
  <c r="O149" i="16"/>
  <c r="O92" i="16"/>
  <c r="O108" i="16"/>
  <c r="O130" i="16"/>
  <c r="O72" i="16"/>
  <c r="O71" i="16"/>
  <c r="O58" i="16"/>
  <c r="G95" i="16"/>
  <c r="G123" i="16"/>
  <c r="G67" i="16"/>
  <c r="G107" i="16"/>
  <c r="G146" i="16"/>
  <c r="O56" i="16"/>
  <c r="G58" i="16"/>
  <c r="G100" i="16"/>
  <c r="G145" i="16"/>
  <c r="G75" i="16"/>
  <c r="G111" i="16"/>
  <c r="G68" i="16"/>
  <c r="G124" i="16"/>
  <c r="O117" i="16"/>
  <c r="O101" i="16"/>
  <c r="O131" i="16"/>
  <c r="O104" i="16"/>
  <c r="O134" i="16"/>
  <c r="O64" i="16"/>
  <c r="G114" i="16"/>
  <c r="O111" i="16"/>
  <c r="O137" i="16"/>
  <c r="O87" i="16"/>
  <c r="O112" i="16"/>
  <c r="O148" i="16"/>
  <c r="O75" i="16"/>
  <c r="O57" i="16"/>
  <c r="G149" i="16"/>
  <c r="G153" i="16"/>
  <c r="O88" i="16"/>
  <c r="O119" i="16"/>
  <c r="O145" i="16"/>
  <c r="O96" i="16"/>
  <c r="O116" i="16"/>
  <c r="O76" i="16"/>
  <c r="O67" i="16"/>
  <c r="O95" i="16"/>
  <c r="O122" i="16"/>
  <c r="O100" i="16"/>
  <c r="G88" i="16"/>
  <c r="O123" i="16"/>
  <c r="O68" i="16"/>
  <c r="G85" i="16"/>
  <c r="O153" i="16"/>
  <c r="O63" i="16"/>
  <c r="O167" i="16"/>
  <c r="G89" i="16"/>
  <c r="G136" i="16"/>
  <c r="G66" i="16"/>
  <c r="G93" i="16"/>
  <c r="G112" i="16"/>
  <c r="G131" i="16"/>
  <c r="G54" i="16"/>
  <c r="G73" i="16"/>
  <c r="G96" i="16"/>
  <c r="G113" i="16"/>
  <c r="G132" i="16"/>
  <c r="O80" i="16"/>
  <c r="O93" i="16"/>
  <c r="O115" i="16"/>
  <c r="O135" i="16"/>
  <c r="O85" i="16"/>
  <c r="O102" i="16"/>
  <c r="O120" i="16"/>
  <c r="O152" i="16"/>
  <c r="O62" i="16"/>
  <c r="O61" i="16"/>
  <c r="G167" i="16"/>
  <c r="G97" i="16"/>
  <c r="G116" i="16"/>
  <c r="G59" i="16"/>
  <c r="G80" i="16"/>
  <c r="H80" i="16" s="1"/>
  <c r="R80" i="16" s="1"/>
  <c r="G117" i="16"/>
  <c r="G139" i="16"/>
  <c r="O97" i="16"/>
  <c r="O121" i="16"/>
  <c r="O139" i="16"/>
  <c r="O106" i="16"/>
  <c r="O124" i="16"/>
  <c r="O73" i="16"/>
  <c r="O77" i="16"/>
  <c r="O59" i="16"/>
  <c r="G60" i="16"/>
  <c r="G106" i="16"/>
  <c r="G152" i="16"/>
  <c r="G92" i="16"/>
  <c r="G127" i="16"/>
  <c r="O86" i="16"/>
  <c r="O151" i="16"/>
  <c r="O98" i="16"/>
  <c r="O66" i="16"/>
  <c r="G115" i="16"/>
  <c r="G70" i="16"/>
  <c r="G137" i="16"/>
  <c r="G101" i="16"/>
  <c r="O90" i="16"/>
  <c r="O89" i="16"/>
  <c r="O74" i="16"/>
  <c r="O60" i="16"/>
  <c r="G125" i="16"/>
  <c r="G108" i="16"/>
  <c r="O107" i="16"/>
  <c r="O146" i="16"/>
  <c r="G135" i="16"/>
  <c r="O54" i="16"/>
  <c r="G56" i="16"/>
  <c r="G74" i="16"/>
  <c r="G102" i="16"/>
  <c r="G121" i="16"/>
  <c r="G147" i="16"/>
  <c r="G65" i="16"/>
  <c r="G86" i="16"/>
  <c r="G105" i="16"/>
  <c r="G122" i="16"/>
  <c r="G148" i="16"/>
  <c r="O113" i="16"/>
  <c r="O103" i="16"/>
  <c r="O125" i="16"/>
  <c r="O147" i="16"/>
  <c r="O94" i="16"/>
  <c r="O110" i="16"/>
  <c r="O132" i="16"/>
  <c r="O70" i="16"/>
  <c r="O69" i="16"/>
  <c r="G87" i="16"/>
  <c r="G69" i="16"/>
  <c r="O136" i="16"/>
  <c r="O129" i="16"/>
  <c r="O114" i="16"/>
  <c r="O65" i="16"/>
  <c r="Q34" i="1"/>
  <c r="Q38" i="1"/>
  <c r="Q49" i="1" s="1"/>
  <c r="Q55" i="1" s="1"/>
  <c r="V62" i="1" s="1"/>
  <c r="R38" i="1"/>
  <c r="R49" i="1" s="1"/>
  <c r="V38" i="1"/>
  <c r="P49" i="1"/>
  <c r="R27" i="1"/>
  <c r="R32" i="1" s="1"/>
  <c r="P75" i="19"/>
  <c r="R75" i="19" s="1"/>
  <c r="P136" i="19"/>
  <c r="R136" i="19" s="1"/>
  <c r="P72" i="19"/>
  <c r="R72" i="19" s="1"/>
  <c r="P138" i="19"/>
  <c r="P160" i="19"/>
  <c r="R160" i="19" s="1"/>
  <c r="P80" i="19"/>
  <c r="R80" i="19" s="1"/>
  <c r="P158" i="19"/>
  <c r="R158" i="19" s="1"/>
  <c r="P146" i="19"/>
  <c r="R146" i="19" s="1"/>
  <c r="P103" i="19"/>
  <c r="R103" i="19" s="1"/>
  <c r="P68" i="19"/>
  <c r="R68" i="19" s="1"/>
  <c r="P62" i="19"/>
  <c r="R62" i="19" s="1"/>
  <c r="P100" i="19"/>
  <c r="P154" i="19"/>
  <c r="R154" i="19" s="1"/>
  <c r="P60" i="19"/>
  <c r="R60" i="19" s="1"/>
  <c r="P116" i="19"/>
  <c r="P61" i="19"/>
  <c r="R61" i="19" s="1"/>
  <c r="P66" i="19"/>
  <c r="R66" i="19" s="1"/>
  <c r="P98" i="19"/>
  <c r="R98" i="19" s="1"/>
  <c r="P104" i="19"/>
  <c r="R104" i="19" s="1"/>
  <c r="P123" i="19"/>
  <c r="P120" i="19"/>
  <c r="P71" i="19"/>
  <c r="R71" i="19" s="1"/>
  <c r="P109" i="19"/>
  <c r="P161" i="19"/>
  <c r="P93" i="19"/>
  <c r="P102" i="19"/>
  <c r="R102" i="19" s="1"/>
  <c r="P59" i="19"/>
  <c r="R59" i="19" s="1"/>
  <c r="P110" i="19"/>
  <c r="R110" i="19" s="1"/>
  <c r="P144" i="19"/>
  <c r="R144" i="19" s="1"/>
  <c r="P81" i="19"/>
  <c r="R81" i="19" s="1"/>
  <c r="P111" i="19"/>
  <c r="R111" i="19" s="1"/>
  <c r="P124" i="19"/>
  <c r="R124" i="19" s="1"/>
  <c r="P145" i="19"/>
  <c r="R145" i="19" s="1"/>
  <c r="P133" i="19"/>
  <c r="R133" i="19" s="1"/>
  <c r="P101" i="19"/>
  <c r="R101" i="19" s="1"/>
  <c r="P128" i="19"/>
  <c r="R128" i="19" s="1"/>
  <c r="P83" i="19"/>
  <c r="R83" i="19" s="1"/>
  <c r="P125" i="19"/>
  <c r="R125" i="19" s="1"/>
  <c r="P73" i="19"/>
  <c r="R73" i="19" s="1"/>
  <c r="P63" i="19"/>
  <c r="R63" i="19" s="1"/>
  <c r="P106" i="19"/>
  <c r="R106" i="19" s="1"/>
  <c r="P112" i="19"/>
  <c r="R112" i="19" s="1"/>
  <c r="P85" i="19"/>
  <c r="R85" i="19" s="1"/>
  <c r="P113" i="19"/>
  <c r="R113" i="19" s="1"/>
  <c r="P143" i="19"/>
  <c r="R143" i="19" s="1"/>
  <c r="P97" i="19"/>
  <c r="R97" i="19" s="1"/>
  <c r="P74" i="19"/>
  <c r="R74" i="19" s="1"/>
  <c r="P121" i="19"/>
  <c r="R121" i="19" s="1"/>
  <c r="P141" i="19"/>
  <c r="R141" i="19" s="1"/>
  <c r="P129" i="19"/>
  <c r="R129" i="19" s="1"/>
  <c r="P156" i="19"/>
  <c r="R156" i="19" s="1"/>
  <c r="P64" i="19"/>
  <c r="R64" i="19" s="1"/>
  <c r="P177" i="19"/>
  <c r="P94" i="19"/>
  <c r="R94" i="19" s="1"/>
  <c r="P79" i="19"/>
  <c r="R79" i="19" s="1"/>
  <c r="P95" i="19"/>
  <c r="R95" i="19" s="1"/>
  <c r="P139" i="19"/>
  <c r="R139" i="19" s="1"/>
  <c r="P134" i="19"/>
  <c r="R134" i="19" s="1"/>
  <c r="P148" i="19"/>
  <c r="P65" i="19"/>
  <c r="R65" i="19" s="1"/>
  <c r="P70" i="19"/>
  <c r="R70" i="19" s="1"/>
  <c r="P162" i="19"/>
  <c r="R162" i="19" s="1"/>
  <c r="P131" i="19"/>
  <c r="R131" i="19" s="1"/>
  <c r="P114" i="19"/>
  <c r="R114" i="19" s="1"/>
  <c r="P69" i="19"/>
  <c r="R69" i="19" s="1"/>
  <c r="P157" i="19"/>
  <c r="R157" i="19" s="1"/>
  <c r="P140" i="19"/>
  <c r="R140" i="19" s="1"/>
  <c r="P82" i="19"/>
  <c r="R82" i="19" s="1"/>
  <c r="P105" i="19"/>
  <c r="R105" i="19" s="1"/>
  <c r="P78" i="19"/>
  <c r="R78" i="19" s="1"/>
  <c r="P77" i="19"/>
  <c r="R77" i="19" s="1"/>
  <c r="P118" i="19"/>
  <c r="R118" i="19" s="1"/>
  <c r="P67" i="19"/>
  <c r="R67" i="19" s="1"/>
  <c r="P130" i="19"/>
  <c r="R130" i="19" s="1"/>
  <c r="P76" i="19"/>
  <c r="R76" i="19" s="1"/>
  <c r="P88" i="19"/>
  <c r="P115" i="19"/>
  <c r="P108" i="19"/>
  <c r="R108" i="19" s="1"/>
  <c r="P119" i="19"/>
  <c r="P132" i="19"/>
  <c r="R132" i="19" s="1"/>
  <c r="P122" i="19"/>
  <c r="R122" i="19" s="1"/>
  <c r="P155" i="19"/>
  <c r="R155" i="19" s="1"/>
  <c r="P96" i="19"/>
  <c r="R96" i="19" s="1"/>
  <c r="P84" i="19"/>
  <c r="R84" i="19" s="1"/>
  <c r="P126" i="19"/>
  <c r="R126" i="19" s="1"/>
  <c r="O68" i="19"/>
  <c r="O140" i="19"/>
  <c r="O102" i="19"/>
  <c r="O61" i="19"/>
  <c r="G146" i="19"/>
  <c r="O130" i="19"/>
  <c r="G76" i="19"/>
  <c r="O124" i="19"/>
  <c r="O85" i="19"/>
  <c r="G111" i="19"/>
  <c r="O105" i="19"/>
  <c r="O109" i="19"/>
  <c r="G180" i="19"/>
  <c r="G156" i="19"/>
  <c r="O115" i="19"/>
  <c r="G77" i="19"/>
  <c r="G138" i="19"/>
  <c r="O98" i="19"/>
  <c r="G64" i="19"/>
  <c r="G79" i="19"/>
  <c r="G105" i="19"/>
  <c r="G124" i="19"/>
  <c r="O144" i="19"/>
  <c r="G125" i="19"/>
  <c r="G108" i="19"/>
  <c r="G120" i="19"/>
  <c r="G85" i="19"/>
  <c r="O129" i="19"/>
  <c r="G106" i="19"/>
  <c r="G66" i="19"/>
  <c r="G128" i="19"/>
  <c r="O81" i="19"/>
  <c r="O65" i="19"/>
  <c r="O83" i="19"/>
  <c r="O110" i="19"/>
  <c r="G129" i="19"/>
  <c r="G155" i="19"/>
  <c r="O121" i="19"/>
  <c r="O93" i="19"/>
  <c r="G62" i="19"/>
  <c r="G139" i="19"/>
  <c r="O156" i="19"/>
  <c r="O66" i="19"/>
  <c r="O143" i="19"/>
  <c r="G136" i="19"/>
  <c r="O97" i="19"/>
  <c r="G59" i="19"/>
  <c r="G116" i="19"/>
  <c r="G72" i="19"/>
  <c r="O71" i="19"/>
  <c r="G95" i="19"/>
  <c r="O114" i="19"/>
  <c r="G133" i="19"/>
  <c r="O160" i="19"/>
  <c r="O79" i="19"/>
  <c r="G154" i="19"/>
  <c r="O155" i="19"/>
  <c r="O75" i="19"/>
  <c r="G101" i="19"/>
  <c r="O63" i="19"/>
  <c r="G162" i="19"/>
  <c r="O136" i="19"/>
  <c r="O116" i="19"/>
  <c r="G97" i="19"/>
  <c r="O73" i="19"/>
  <c r="G67" i="19"/>
  <c r="G112" i="19"/>
  <c r="G160" i="19"/>
  <c r="O95" i="19"/>
  <c r="O131" i="19"/>
  <c r="G118" i="19"/>
  <c r="O162" i="19"/>
  <c r="O70" i="19"/>
  <c r="O96" i="19"/>
  <c r="O134" i="19"/>
  <c r="O84" i="19"/>
  <c r="G143" i="19"/>
  <c r="O123" i="19"/>
  <c r="O104" i="19"/>
  <c r="O78" i="19"/>
  <c r="O177" i="19"/>
  <c r="O101" i="19"/>
  <c r="G140" i="19"/>
  <c r="G78" i="19"/>
  <c r="O133" i="19"/>
  <c r="G134" i="19"/>
  <c r="O138" i="19"/>
  <c r="O118" i="19"/>
  <c r="O74" i="19"/>
  <c r="G65" i="19"/>
  <c r="O157" i="19"/>
  <c r="G104" i="19"/>
  <c r="O132" i="19"/>
  <c r="O94" i="19"/>
  <c r="G74" i="19"/>
  <c r="O60" i="19"/>
  <c r="O145" i="19"/>
  <c r="G103" i="19"/>
  <c r="O103" i="19"/>
  <c r="G121" i="19"/>
  <c r="O62" i="19"/>
  <c r="O80" i="19"/>
  <c r="G82" i="19"/>
  <c r="O128" i="19"/>
  <c r="O82" i="19"/>
  <c r="O88" i="19"/>
  <c r="G69" i="19"/>
  <c r="G157" i="19"/>
  <c r="G131" i="19"/>
  <c r="O112" i="19"/>
  <c r="G88" i="19"/>
  <c r="O67" i="19"/>
  <c r="O76" i="19"/>
  <c r="O122" i="19"/>
  <c r="G61" i="19"/>
  <c r="G102" i="19"/>
  <c r="O141" i="19"/>
  <c r="G100" i="19"/>
  <c r="G177" i="19"/>
  <c r="O106" i="19"/>
  <c r="O146" i="19"/>
  <c r="G93" i="19"/>
  <c r="O100" i="19"/>
  <c r="G110" i="19"/>
  <c r="O139" i="19"/>
  <c r="G113" i="19"/>
  <c r="O120" i="19"/>
  <c r="G141" i="19"/>
  <c r="O77" i="19"/>
  <c r="G80" i="19"/>
  <c r="G96" i="19"/>
  <c r="O154" i="19"/>
  <c r="O64" i="19"/>
  <c r="G158" i="19"/>
  <c r="O148" i="19"/>
  <c r="G126" i="19"/>
  <c r="O108" i="19"/>
  <c r="G81" i="19"/>
  <c r="G94" i="19"/>
  <c r="G132" i="19"/>
  <c r="G73" i="19"/>
  <c r="O111" i="19"/>
  <c r="G148" i="19"/>
  <c r="G75" i="19"/>
  <c r="G114" i="19"/>
  <c r="O72" i="19"/>
  <c r="G115" i="19"/>
  <c r="O161" i="19"/>
  <c r="O158" i="19"/>
  <c r="O69" i="19"/>
  <c r="O113" i="19"/>
  <c r="G122" i="19"/>
  <c r="O59" i="19"/>
  <c r="G144" i="19"/>
  <c r="G161" i="19"/>
  <c r="O125" i="19"/>
  <c r="G109" i="19"/>
  <c r="G130" i="19"/>
  <c r="G123" i="19"/>
  <c r="O126" i="19"/>
  <c r="G145" i="19"/>
  <c r="P55" i="1"/>
  <c r="P34" i="1"/>
  <c r="X8" i="15"/>
  <c r="X25" i="15" s="1"/>
  <c r="X38" i="18"/>
  <c r="X49" i="18" s="1"/>
  <c r="X55" i="18" s="1"/>
  <c r="V49" i="18"/>
  <c r="V32" i="1"/>
  <c r="X27" i="1"/>
  <c r="X32" i="1" s="1"/>
  <c r="R49" i="18"/>
  <c r="R55" i="18" s="1"/>
  <c r="V63" i="18" s="1"/>
  <c r="P42" i="19" s="1"/>
  <c r="H135" i="13"/>
  <c r="H125" i="13"/>
  <c r="H59" i="13"/>
  <c r="H108" i="13"/>
  <c r="H106" i="13"/>
  <c r="H113" i="13"/>
  <c r="H68" i="13"/>
  <c r="H152" i="13"/>
  <c r="H134" i="13"/>
  <c r="H65" i="13"/>
  <c r="H56" i="13"/>
  <c r="H84" i="13"/>
  <c r="H89" i="13"/>
  <c r="H87" i="13"/>
  <c r="H81" i="13"/>
  <c r="H51" i="13"/>
  <c r="H96" i="13"/>
  <c r="H101" i="13"/>
  <c r="H111" i="13"/>
  <c r="H120" i="13"/>
  <c r="H129" i="13"/>
  <c r="H107" i="13"/>
  <c r="H86" i="13"/>
  <c r="H124" i="13"/>
  <c r="H114" i="13"/>
  <c r="H64" i="13"/>
  <c r="H100" i="13"/>
  <c r="H121" i="13"/>
  <c r="H99" i="13"/>
  <c r="H63" i="13"/>
  <c r="H132" i="13"/>
  <c r="H130" i="13"/>
  <c r="H118" i="13"/>
  <c r="H69" i="13"/>
  <c r="H116" i="13"/>
  <c r="H98" i="13"/>
  <c r="H123" i="13"/>
  <c r="H55" i="13"/>
  <c r="H85" i="13"/>
  <c r="H102" i="13"/>
  <c r="H70" i="13"/>
  <c r="H61" i="13"/>
  <c r="H136" i="13"/>
  <c r="H119" i="13"/>
  <c r="H66" i="13"/>
  <c r="H79" i="13"/>
  <c r="H117" i="13"/>
  <c r="H82" i="13"/>
  <c r="H58" i="13"/>
  <c r="H78" i="13"/>
  <c r="H53" i="13"/>
  <c r="H112" i="13"/>
  <c r="H110" i="13"/>
  <c r="H57" i="13"/>
  <c r="H105" i="13"/>
  <c r="H133" i="13"/>
  <c r="H94" i="13"/>
  <c r="H122" i="13"/>
  <c r="H93" i="13"/>
  <c r="H52" i="13"/>
  <c r="H115" i="13"/>
  <c r="H131" i="13"/>
  <c r="H95" i="13"/>
  <c r="H67" i="13"/>
  <c r="H80" i="13"/>
  <c r="H88" i="13"/>
  <c r="H109" i="13"/>
  <c r="H60" i="13"/>
  <c r="H92" i="13"/>
  <c r="H103" i="13"/>
  <c r="H90" i="13"/>
  <c r="H54" i="13"/>
  <c r="H150" i="13"/>
  <c r="H97" i="13"/>
  <c r="H104" i="13"/>
  <c r="H62" i="13"/>
  <c r="X49" i="15"/>
  <c r="X7" i="1"/>
  <c r="X25" i="1" s="1"/>
  <c r="V25" i="1"/>
  <c r="P34" i="15"/>
  <c r="X34" i="18"/>
  <c r="O55" i="1"/>
  <c r="O34" i="1"/>
  <c r="O55" i="15"/>
  <c r="O34" i="15"/>
  <c r="M34" i="15"/>
  <c r="M55" i="15"/>
  <c r="V27" i="15"/>
  <c r="Q27" i="15"/>
  <c r="Q32" i="15" s="1"/>
  <c r="P32" i="15"/>
  <c r="P55" i="15" s="1"/>
  <c r="G115" i="13"/>
  <c r="G119" i="13"/>
  <c r="G79" i="13"/>
  <c r="G80" i="13"/>
  <c r="G51" i="13"/>
  <c r="G57" i="13"/>
  <c r="G135" i="13"/>
  <c r="G97" i="13"/>
  <c r="G69" i="13"/>
  <c r="G73" i="13"/>
  <c r="H73" i="13" s="1"/>
  <c r="G113" i="13"/>
  <c r="G93" i="13"/>
  <c r="G150" i="13"/>
  <c r="G58" i="13"/>
  <c r="G118" i="13"/>
  <c r="G112" i="13"/>
  <c r="G94" i="13"/>
  <c r="G52" i="13"/>
  <c r="G116" i="13"/>
  <c r="G136" i="13"/>
  <c r="G95" i="13"/>
  <c r="G78" i="13"/>
  <c r="G62" i="13"/>
  <c r="G121" i="13"/>
  <c r="G82" i="13"/>
  <c r="G100" i="13"/>
  <c r="G110" i="13"/>
  <c r="G132" i="13"/>
  <c r="G54" i="13"/>
  <c r="G96" i="13"/>
  <c r="G123" i="13"/>
  <c r="G60" i="13"/>
  <c r="G120" i="13"/>
  <c r="G81" i="13"/>
  <c r="G99" i="13"/>
  <c r="G55" i="13"/>
  <c r="G70" i="13"/>
  <c r="G129" i="13"/>
  <c r="G87" i="13"/>
  <c r="G104" i="13"/>
  <c r="G90" i="13"/>
  <c r="G117" i="13"/>
  <c r="G68" i="13"/>
  <c r="G125" i="13"/>
  <c r="G86" i="13"/>
  <c r="G103" i="13"/>
  <c r="G63" i="13"/>
  <c r="G111" i="13"/>
  <c r="G133" i="13"/>
  <c r="G92" i="13"/>
  <c r="G53" i="13"/>
  <c r="G107" i="13"/>
  <c r="G152" i="13"/>
  <c r="G64" i="13"/>
  <c r="G59" i="13"/>
  <c r="G102" i="13"/>
  <c r="G65" i="13"/>
  <c r="G105" i="13"/>
  <c r="G89" i="13"/>
  <c r="G66" i="13"/>
  <c r="G67" i="13"/>
  <c r="G106" i="13"/>
  <c r="G61" i="13"/>
  <c r="G101" i="13"/>
  <c r="G131" i="13"/>
  <c r="G98" i="13"/>
  <c r="G122" i="13"/>
  <c r="G108" i="13"/>
  <c r="G56" i="13"/>
  <c r="G134" i="13"/>
  <c r="G114" i="13"/>
  <c r="G84" i="13"/>
  <c r="G124" i="13"/>
  <c r="G130" i="13"/>
  <c r="G109" i="13"/>
  <c r="G85" i="13"/>
  <c r="G88" i="13"/>
  <c r="V49" i="15"/>
  <c r="V55" i="18"/>
  <c r="V34" i="18"/>
  <c r="R7" i="1"/>
  <c r="R25" i="1" s="1"/>
  <c r="Q25" i="15"/>
  <c r="Q21" i="15"/>
  <c r="R21" i="15" s="1"/>
  <c r="R25" i="15" s="1"/>
  <c r="V21" i="15"/>
  <c r="X21" i="15" s="1"/>
  <c r="J8" i="33"/>
  <c r="J17" i="33"/>
  <c r="K17" i="33" s="1"/>
  <c r="AH65" i="19"/>
  <c r="W55" i="19"/>
  <c r="AD80" i="19"/>
  <c r="W77" i="19"/>
  <c r="AH77" i="19" s="1"/>
  <c r="J12" i="33" l="1"/>
  <c r="K12" i="33" s="1"/>
  <c r="H157" i="13"/>
  <c r="V74" i="19"/>
  <c r="R119" i="19"/>
  <c r="V70" i="19"/>
  <c r="R148" i="19"/>
  <c r="V90" i="19"/>
  <c r="R116" i="19"/>
  <c r="G174" i="16"/>
  <c r="R107" i="16"/>
  <c r="R55" i="1"/>
  <c r="V63" i="1" s="1"/>
  <c r="V66" i="1" s="1"/>
  <c r="R34" i="1"/>
  <c r="G157" i="13"/>
  <c r="V32" i="15"/>
  <c r="X27" i="15"/>
  <c r="X32" i="15" s="1"/>
  <c r="V34" i="1"/>
  <c r="V25" i="15"/>
  <c r="X38" i="1"/>
  <c r="X49" i="1" s="1"/>
  <c r="V49" i="1"/>
  <c r="V55" i="1" s="1"/>
  <c r="R146" i="16"/>
  <c r="R125" i="16"/>
  <c r="AC65" i="19"/>
  <c r="R117" i="16"/>
  <c r="R67" i="16"/>
  <c r="R136" i="16"/>
  <c r="R62" i="16"/>
  <c r="R69" i="16"/>
  <c r="R149" i="16"/>
  <c r="R85" i="16"/>
  <c r="R114" i="16"/>
  <c r="R73" i="16"/>
  <c r="F13" i="17"/>
  <c r="B13" i="17" s="1"/>
  <c r="F16" i="20"/>
  <c r="B16" i="20" s="1"/>
  <c r="F16" i="17"/>
  <c r="B16" i="17" s="1"/>
  <c r="R42" i="19"/>
  <c r="V59" i="19"/>
  <c r="O42" i="19"/>
  <c r="X55" i="1"/>
  <c r="X34" i="1"/>
  <c r="X55" i="15"/>
  <c r="X34" i="15"/>
  <c r="R115" i="19"/>
  <c r="V91" i="19"/>
  <c r="AD91" i="19" s="1"/>
  <c r="AG91" i="19" s="1"/>
  <c r="V72" i="19"/>
  <c r="R177" i="19"/>
  <c r="R93" i="19"/>
  <c r="V66" i="19"/>
  <c r="R120" i="19"/>
  <c r="V64" i="19"/>
  <c r="R167" i="16"/>
  <c r="R97" i="16"/>
  <c r="R87" i="16"/>
  <c r="R56" i="16"/>
  <c r="R93" i="16"/>
  <c r="R77" i="16"/>
  <c r="R113" i="16"/>
  <c r="AC74" i="19"/>
  <c r="R54" i="16"/>
  <c r="H174" i="16"/>
  <c r="R59" i="16"/>
  <c r="R122" i="16"/>
  <c r="R148" i="16"/>
  <c r="R132" i="16"/>
  <c r="V58" i="19"/>
  <c r="O21" i="19"/>
  <c r="O185" i="19" s="1"/>
  <c r="R21" i="19"/>
  <c r="P189" i="19"/>
  <c r="P190" i="19" s="1"/>
  <c r="P185" i="19"/>
  <c r="Q55" i="15"/>
  <c r="V62" i="15" s="1"/>
  <c r="Q34" i="15"/>
  <c r="R109" i="19"/>
  <c r="V69" i="19"/>
  <c r="R27" i="15"/>
  <c r="R32" i="15" s="1"/>
  <c r="R55" i="15" s="1"/>
  <c r="V63" i="15" s="1"/>
  <c r="P40" i="16" s="1"/>
  <c r="G185" i="19"/>
  <c r="R88" i="19"/>
  <c r="V73" i="19"/>
  <c r="R161" i="19"/>
  <c r="V61" i="19"/>
  <c r="R123" i="19"/>
  <c r="V65" i="19"/>
  <c r="R100" i="19"/>
  <c r="V67" i="19"/>
  <c r="R138" i="19"/>
  <c r="V71" i="19"/>
  <c r="F13" i="20"/>
  <c r="B13" i="20" s="1"/>
  <c r="R57" i="16"/>
  <c r="R151" i="16"/>
  <c r="R145" i="16"/>
  <c r="R112" i="16"/>
  <c r="R137" i="16"/>
  <c r="R72" i="16"/>
  <c r="R66" i="16"/>
  <c r="R152" i="16"/>
  <c r="R60" i="16"/>
  <c r="R94" i="16"/>
  <c r="R127" i="16"/>
  <c r="V66" i="18"/>
  <c r="K8" i="33"/>
  <c r="X55" i="19"/>
  <c r="AH55" i="19"/>
  <c r="AI55" i="19" s="1"/>
  <c r="W80" i="19"/>
  <c r="K22" i="33" l="1"/>
  <c r="O40" i="16"/>
  <c r="R40" i="16"/>
  <c r="AG69" i="19"/>
  <c r="AI69" i="19" s="1"/>
  <c r="X69" i="19"/>
  <c r="AG58" i="19"/>
  <c r="AI58" i="19" s="1"/>
  <c r="X58" i="19"/>
  <c r="X77" i="19" s="1"/>
  <c r="V77" i="19"/>
  <c r="X72" i="19"/>
  <c r="AG72" i="19"/>
  <c r="AI72" i="19" s="1"/>
  <c r="AG59" i="19"/>
  <c r="AI59" i="19" s="1"/>
  <c r="X59" i="19"/>
  <c r="X70" i="19"/>
  <c r="AG70" i="19"/>
  <c r="AI70" i="19" s="1"/>
  <c r="R34" i="15"/>
  <c r="AG71" i="19"/>
  <c r="AI71" i="19" s="1"/>
  <c r="X71" i="19"/>
  <c r="P20" i="16"/>
  <c r="V66" i="15"/>
  <c r="X64" i="19"/>
  <c r="AG64" i="19"/>
  <c r="AI64" i="19" s="1"/>
  <c r="V55" i="15"/>
  <c r="V34" i="15"/>
  <c r="AG67" i="19"/>
  <c r="AI67" i="19" s="1"/>
  <c r="X67" i="19"/>
  <c r="AG66" i="19"/>
  <c r="AI66" i="19" s="1"/>
  <c r="X66" i="19"/>
  <c r="AG92" i="19"/>
  <c r="AG65" i="19"/>
  <c r="AI65" i="19" s="1"/>
  <c r="X65" i="19"/>
  <c r="AG73" i="19"/>
  <c r="AI73" i="19" s="1"/>
  <c r="X73" i="19"/>
  <c r="AC77" i="19"/>
  <c r="AC80" i="19" s="1"/>
  <c r="AE74" i="19"/>
  <c r="AG61" i="19"/>
  <c r="AI61" i="19" s="1"/>
  <c r="X61" i="19"/>
  <c r="X80" i="19"/>
  <c r="R185" i="19"/>
  <c r="R189" i="19"/>
  <c r="R190" i="19" s="1"/>
  <c r="R192" i="19" s="1"/>
  <c r="AL65" i="19"/>
  <c r="AE65" i="19"/>
  <c r="AE77" i="19" s="1"/>
  <c r="AE80" i="19" s="1"/>
  <c r="AD90" i="19"/>
  <c r="AG90" i="19" s="1"/>
  <c r="V92" i="19"/>
  <c r="AD92" i="19" s="1"/>
  <c r="AG74" i="19"/>
  <c r="AI74" i="19" s="1"/>
  <c r="X74" i="19"/>
  <c r="V80" i="19" l="1"/>
  <c r="AG77" i="19"/>
  <c r="AI77" i="19" s="1"/>
  <c r="F12" i="17"/>
  <c r="F12" i="20"/>
  <c r="R193" i="19"/>
  <c r="R20" i="16"/>
  <c r="R174" i="16" s="1"/>
  <c r="P174" i="16"/>
  <c r="O20" i="16"/>
  <c r="O174" i="16" s="1"/>
  <c r="B12" i="17" l="1"/>
  <c r="F17" i="17"/>
  <c r="F18" i="17" s="1"/>
  <c r="F15" i="17"/>
  <c r="F23" i="17" s="1"/>
  <c r="B12" i="20"/>
  <c r="F17" i="20"/>
  <c r="F18" i="20" s="1"/>
  <c r="F15" i="20"/>
  <c r="F23" i="20" s="1"/>
  <c r="B15" i="20" l="1"/>
  <c r="B23" i="20" s="1"/>
  <c r="B17" i="20"/>
  <c r="B18" i="20" s="1"/>
  <c r="F21" i="17"/>
  <c r="F25" i="17" s="1"/>
  <c r="F24" i="17"/>
  <c r="F21" i="20"/>
  <c r="F25" i="20" s="1"/>
  <c r="F24" i="20"/>
  <c r="B17" i="17"/>
  <c r="B18" i="17" s="1"/>
  <c r="B15" i="17"/>
  <c r="B23" i="17" s="1"/>
  <c r="B24" i="17" l="1"/>
  <c r="B21" i="17"/>
  <c r="B25" i="17" s="1"/>
  <c r="B24" i="20"/>
  <c r="B21" i="20"/>
  <c r="B25" i="20" s="1"/>
  <c r="I22" i="33"/>
  <c r="H22" i="33"/>
  <c r="J16" i="33"/>
  <c r="J22" i="33" s="1"/>
  <c r="E30" i="33" s="1"/>
  <c r="E33" i="33" s="1"/>
  <c r="C30" i="33" l="1"/>
  <c r="C33" i="33" s="1"/>
  <c r="C35" i="33" s="1"/>
  <c r="E35" i="33"/>
  <c r="C37" i="33" l="1"/>
  <c r="C41" i="33"/>
  <c r="C42" i="33" s="1"/>
  <c r="C43" i="33" s="1"/>
  <c r="E37" i="33"/>
  <c r="G41" i="33"/>
  <c r="G42" i="33" s="1"/>
  <c r="G43" i="33" s="1"/>
</calcChain>
</file>

<file path=xl/comments1.xml><?xml version="1.0" encoding="utf-8"?>
<comments xmlns="http://schemas.openxmlformats.org/spreadsheetml/2006/main">
  <authors>
    <author>Bjørn Wisted</author>
    <author>kjell.moen</author>
  </authors>
  <commentList>
    <comment ref="F8" authorId="0">
      <text>
        <r>
          <rPr>
            <b/>
            <sz val="9"/>
            <color indexed="81"/>
            <rFont val="Tahoma"/>
            <charset val="1"/>
          </rPr>
          <t xml:space="preserve">Se beregning i kolonnene M til T. </t>
        </r>
      </text>
    </comment>
    <comment ref="F9" authorId="0">
      <text>
        <r>
          <rPr>
            <b/>
            <sz val="9"/>
            <color indexed="81"/>
            <rFont val="Tahoma"/>
            <charset val="1"/>
          </rPr>
          <t>Antar 20% tynnere avis ved å ta ut annonsene. Selv om annonsedekningsprosent er høyere vil man ikke ha for tynn avis. Derfor 20%.</t>
        </r>
      </text>
    </comment>
    <comment ref="D10" authorId="1">
      <text>
        <r>
          <rPr>
            <sz val="9"/>
            <color indexed="81"/>
            <rFont val="Tahoma"/>
            <family val="2"/>
          </rPr>
          <t>Trykkekostnaden i eget trykkeri til annonseprodukter.</t>
        </r>
      </text>
    </comment>
    <comment ref="F10" authorId="0">
      <text>
        <r>
          <rPr>
            <b/>
            <sz val="9"/>
            <color indexed="81"/>
            <rFont val="Tahoma"/>
            <charset val="1"/>
          </rPr>
          <t xml:space="preserve">Antar 20% tynnere avis med kun redaksjonelt stoff. </t>
        </r>
      </text>
    </comment>
    <comment ref="F12" authorId="0">
      <text>
        <r>
          <rPr>
            <b/>
            <sz val="9"/>
            <color indexed="81"/>
            <rFont val="Tahoma"/>
            <charset val="1"/>
          </rPr>
          <t xml:space="preserve">Se beregning i kolonnene M til T. </t>
        </r>
      </text>
    </comment>
    <comment ref="F14" authorId="0">
      <text>
        <r>
          <rPr>
            <b/>
            <sz val="9"/>
            <color indexed="81"/>
            <rFont val="Tahoma"/>
            <charset val="1"/>
          </rPr>
          <t xml:space="preserve">Se celle Q19. </t>
        </r>
      </text>
    </comment>
    <comment ref="B17" authorId="1">
      <text>
        <r>
          <rPr>
            <sz val="9"/>
            <color indexed="81"/>
            <rFont val="Tahoma"/>
            <family val="2"/>
          </rPr>
          <t xml:space="preserve">Sum bygg minus eventuell fremleie til trykk eller annet. </t>
        </r>
      </text>
    </comment>
    <comment ref="F17" authorId="0">
      <text>
        <r>
          <rPr>
            <b/>
            <sz val="9"/>
            <color indexed="81"/>
            <rFont val="Tahoma"/>
            <charset val="1"/>
          </rPr>
          <t xml:space="preserve">Se beregning i kolonnene M til T. </t>
        </r>
      </text>
    </comment>
  </commentList>
</comments>
</file>

<file path=xl/comments2.xml><?xml version="1.0" encoding="utf-8"?>
<comments xmlns="http://schemas.openxmlformats.org/spreadsheetml/2006/main">
  <authors>
    <author>Berge, Trine</author>
  </authors>
  <commentList>
    <comment ref="D93" authorId="0">
      <text>
        <r>
          <rPr>
            <b/>
            <sz val="8"/>
            <color indexed="81"/>
            <rFont val="Tahoma"/>
            <family val="2"/>
          </rPr>
          <t>Berge, Trine:</t>
        </r>
        <r>
          <rPr>
            <sz val="8"/>
            <color indexed="81"/>
            <rFont val="Tahoma"/>
            <family val="2"/>
          </rPr>
          <t xml:space="preserve">
trukket ut husleie og FK avdelingskontorer</t>
        </r>
      </text>
    </comment>
    <comment ref="K93" authorId="0">
      <text>
        <r>
          <rPr>
            <b/>
            <sz val="8"/>
            <color indexed="81"/>
            <rFont val="Tahoma"/>
            <family val="2"/>
          </rPr>
          <t>Berge, Trine:</t>
        </r>
        <r>
          <rPr>
            <sz val="8"/>
            <color indexed="81"/>
            <rFont val="Tahoma"/>
            <family val="2"/>
          </rPr>
          <t xml:space="preserve">
trukket ut husleie og FK avdelingskontorer</t>
        </r>
      </text>
    </comment>
    <comment ref="J122" authorId="0">
      <text>
        <r>
          <rPr>
            <b/>
            <sz val="8"/>
            <color indexed="81"/>
            <rFont val="Tahoma"/>
            <family val="2"/>
          </rPr>
          <t>Berge, Trine:</t>
        </r>
        <r>
          <rPr>
            <sz val="8"/>
            <color indexed="81"/>
            <rFont val="Tahoma"/>
            <family val="2"/>
          </rPr>
          <t xml:space="preserve">
inkl generell avsetning honorarer på 500'</t>
        </r>
      </text>
    </comment>
    <comment ref="L122" authorId="0">
      <text>
        <r>
          <rPr>
            <b/>
            <sz val="8"/>
            <color indexed="81"/>
            <rFont val="Tahoma"/>
            <family val="2"/>
          </rPr>
          <t>Berge, Trine:</t>
        </r>
        <r>
          <rPr>
            <sz val="8"/>
            <color indexed="81"/>
            <rFont val="Tahoma"/>
            <family val="2"/>
          </rPr>
          <t xml:space="preserve">
Direkte føring prosjekt 461 X-files</t>
        </r>
      </text>
    </comment>
    <comment ref="B126" authorId="0">
      <text>
        <r>
          <rPr>
            <b/>
            <sz val="8"/>
            <color indexed="81"/>
            <rFont val="Tahoma"/>
            <family val="2"/>
          </rPr>
          <t>Berge, Trine:</t>
        </r>
        <r>
          <rPr>
            <sz val="8"/>
            <color indexed="81"/>
            <rFont val="Tahoma"/>
            <family val="2"/>
          </rPr>
          <t xml:space="preserve">
MNO digital, FTS, kundesenter</t>
        </r>
      </text>
    </comment>
    <comment ref="L126" authorId="0">
      <text>
        <r>
          <rPr>
            <b/>
            <sz val="8"/>
            <color indexed="81"/>
            <rFont val="Tahoma"/>
            <family val="2"/>
          </rPr>
          <t>Berge, Trine:</t>
        </r>
        <r>
          <rPr>
            <sz val="8"/>
            <color indexed="81"/>
            <rFont val="Tahoma"/>
            <family val="2"/>
          </rPr>
          <t xml:space="preserve">
MNO Digital jan,feb,mar,apr</t>
        </r>
      </text>
    </comment>
    <comment ref="D145" authorId="0">
      <text>
        <r>
          <rPr>
            <b/>
            <sz val="8"/>
            <color indexed="81"/>
            <rFont val="Tahoma"/>
            <family val="2"/>
          </rPr>
          <t>Berge, Trine:</t>
        </r>
        <r>
          <rPr>
            <sz val="8"/>
            <color indexed="81"/>
            <rFont val="Tahoma"/>
            <family val="2"/>
          </rPr>
          <t xml:space="preserve">
trukket ut husleie og FK avdelingskontorer</t>
        </r>
      </text>
    </comment>
    <comment ref="A177" authorId="0">
      <text>
        <r>
          <rPr>
            <b/>
            <sz val="8"/>
            <color indexed="81"/>
            <rFont val="Tahoma"/>
            <family val="2"/>
          </rPr>
          <t>Berge, Trine:</t>
        </r>
        <r>
          <rPr>
            <sz val="8"/>
            <color indexed="81"/>
            <rFont val="Tahoma"/>
            <family val="2"/>
          </rPr>
          <t xml:space="preserve">
70% av kostnad helt knyttet til papir, resten ihht fordelingsnøkkel
</t>
        </r>
      </text>
    </comment>
  </commentList>
</comments>
</file>

<file path=xl/comments3.xml><?xml version="1.0" encoding="utf-8"?>
<comments xmlns="http://schemas.openxmlformats.org/spreadsheetml/2006/main">
  <authors>
    <author>Berge, Trine</author>
  </authors>
  <commentList>
    <comment ref="K85" authorId="0">
      <text>
        <r>
          <rPr>
            <b/>
            <sz val="8"/>
            <color indexed="81"/>
            <rFont val="Tahoma"/>
            <family val="2"/>
          </rPr>
          <t>Berge, Trine:</t>
        </r>
        <r>
          <rPr>
            <sz val="8"/>
            <color indexed="81"/>
            <rFont val="Tahoma"/>
            <family val="2"/>
          </rPr>
          <t xml:space="preserve">
trukket ut husleie og FK avdelingskontorer</t>
        </r>
      </text>
    </comment>
    <comment ref="L113" authorId="0">
      <text>
        <r>
          <rPr>
            <b/>
            <sz val="8"/>
            <color indexed="81"/>
            <rFont val="Tahoma"/>
            <family val="2"/>
          </rPr>
          <t>Berge, Trine:</t>
        </r>
        <r>
          <rPr>
            <sz val="8"/>
            <color indexed="81"/>
            <rFont val="Tahoma"/>
            <family val="2"/>
          </rPr>
          <t xml:space="preserve">
Avsetn dekn undersk 100% Fotball pr Q1</t>
        </r>
      </text>
    </comment>
    <comment ref="L117" authorId="0">
      <text>
        <r>
          <rPr>
            <b/>
            <sz val="8"/>
            <color indexed="81"/>
            <rFont val="Tahoma"/>
            <family val="2"/>
          </rPr>
          <t>Berge, Trine:</t>
        </r>
        <r>
          <rPr>
            <sz val="8"/>
            <color indexed="81"/>
            <rFont val="Tahoma"/>
            <family val="2"/>
          </rPr>
          <t xml:space="preserve">
MNO Digital jan,feb,mar</t>
        </r>
      </text>
    </comment>
    <comment ref="A167" authorId="0">
      <text>
        <r>
          <rPr>
            <b/>
            <sz val="8"/>
            <color indexed="81"/>
            <rFont val="Tahoma"/>
            <family val="2"/>
          </rPr>
          <t>Berge, Trine:</t>
        </r>
        <r>
          <rPr>
            <sz val="8"/>
            <color indexed="81"/>
            <rFont val="Tahoma"/>
            <family val="2"/>
          </rPr>
          <t xml:space="preserve">
70% av kostnad helt knyttet til papir, resten ihht fordelingsnøkkel
</t>
        </r>
      </text>
    </comment>
  </commentList>
</comments>
</file>

<file path=xl/comments4.xml><?xml version="1.0" encoding="utf-8"?>
<comments xmlns="http://schemas.openxmlformats.org/spreadsheetml/2006/main">
  <authors>
    <author>Berge, Trine</author>
  </authors>
  <commentList>
    <comment ref="A150" authorId="0">
      <text>
        <r>
          <rPr>
            <b/>
            <sz val="8"/>
            <color indexed="81"/>
            <rFont val="Tahoma"/>
            <family val="2"/>
          </rPr>
          <t>Berge, Trine:</t>
        </r>
        <r>
          <rPr>
            <sz val="8"/>
            <color indexed="81"/>
            <rFont val="Tahoma"/>
            <family val="2"/>
          </rPr>
          <t xml:space="preserve">
70% av kostnad helt knyttet til papir, resten ihht fordelingsnøkkel
</t>
        </r>
      </text>
    </comment>
  </commentList>
</comments>
</file>

<file path=xl/sharedStrings.xml><?xml version="1.0" encoding="utf-8"?>
<sst xmlns="http://schemas.openxmlformats.org/spreadsheetml/2006/main" count="1281" uniqueCount="546">
  <si>
    <t>Journalister - nett</t>
  </si>
  <si>
    <t>Per Moseid</t>
  </si>
  <si>
    <t>Årsverk</t>
  </si>
  <si>
    <t>Amund Hestsveen</t>
  </si>
  <si>
    <t xml:space="preserve">Jon Anders Møllen </t>
  </si>
  <si>
    <t>Vegard Nekstad (vikar for Irene)</t>
  </si>
  <si>
    <t>Lars Martin Gimse (vikar for Anne)</t>
  </si>
  <si>
    <t>Mads Ommundsen</t>
  </si>
  <si>
    <t>Elling Svela</t>
  </si>
  <si>
    <t>Kommentar</t>
  </si>
  <si>
    <t>Kjetil Flygind</t>
  </si>
  <si>
    <t>Kjetil Samuelsen</t>
  </si>
  <si>
    <t>Jim Rune Bjorvand</t>
  </si>
  <si>
    <t>Mari Horve (1 uke dag)</t>
  </si>
  <si>
    <t>Tormod Flem Vegge (1 uke dag)</t>
  </si>
  <si>
    <t>Vegard Damsgård</t>
  </si>
  <si>
    <t>Ole Dag Kvamme</t>
  </si>
  <si>
    <t>Frode Lindblom</t>
  </si>
  <si>
    <t>Kjetil Reite</t>
  </si>
  <si>
    <t>Line Raaen</t>
  </si>
  <si>
    <t>Lars Hollerud</t>
  </si>
  <si>
    <t>Sondre Zachariassen</t>
  </si>
  <si>
    <t>Atle Brandt</t>
  </si>
  <si>
    <t>Monica Birkeland</t>
  </si>
  <si>
    <t>Marked</t>
  </si>
  <si>
    <t>Omar Sadiq</t>
  </si>
  <si>
    <t>Ole Jakob Stranden</t>
  </si>
  <si>
    <t>Geir Sælid</t>
  </si>
  <si>
    <t>Jon Agnar Olsen</t>
  </si>
  <si>
    <t>Per Steinar Sørensen</t>
  </si>
  <si>
    <t>Jandee Stoveland</t>
  </si>
  <si>
    <t>Eirik Andresen</t>
  </si>
  <si>
    <t>Sum redaksjon</t>
  </si>
  <si>
    <t>Sum marked</t>
  </si>
  <si>
    <t>SUM DIGITAL</t>
  </si>
  <si>
    <t>Sum utvikling</t>
  </si>
  <si>
    <t>Lønn</t>
  </si>
  <si>
    <t>Overtid</t>
  </si>
  <si>
    <t>Skifttilegg</t>
  </si>
  <si>
    <t>Diverse tillegg</t>
  </si>
  <si>
    <t>Feriepenger</t>
  </si>
  <si>
    <t>AGA</t>
  </si>
  <si>
    <t>Sum</t>
  </si>
  <si>
    <t>Fast bilgodtgj</t>
  </si>
  <si>
    <t>AVISRETUR</t>
  </si>
  <si>
    <t>KANTINEDRIFT</t>
  </si>
  <si>
    <t>MARKEDSUNDERSØKELSER</t>
  </si>
  <si>
    <t>REVISJONSHONORAR</t>
  </si>
  <si>
    <t>JURIDISK BISTAND</t>
  </si>
  <si>
    <t>PORTO</t>
  </si>
  <si>
    <t>LØSSALGSPROVISJON</t>
  </si>
  <si>
    <t>Andel nett</t>
  </si>
  <si>
    <t>Andel papir</t>
  </si>
  <si>
    <t>ON</t>
  </si>
  <si>
    <t>PN</t>
  </si>
  <si>
    <t>Redaksjon</t>
  </si>
  <si>
    <t>Utvikling</t>
  </si>
  <si>
    <t>Redaksjonsledelse</t>
  </si>
  <si>
    <t>Salg</t>
  </si>
  <si>
    <t>Sum redaksjonen</t>
  </si>
  <si>
    <t>Pensjon</t>
  </si>
  <si>
    <t>Fordelingsnøkler</t>
  </si>
  <si>
    <t>Nett</t>
  </si>
  <si>
    <t>Papir</t>
  </si>
  <si>
    <t>Utviklingsredaktør B Markussen</t>
  </si>
  <si>
    <t>Helgev sport</t>
  </si>
  <si>
    <t>Internett</t>
  </si>
  <si>
    <t>PC trekk</t>
  </si>
  <si>
    <t>andel nett</t>
  </si>
  <si>
    <t>Sum lønn</t>
  </si>
  <si>
    <t>pr mnd</t>
  </si>
  <si>
    <t>Arb.g.avg</t>
  </si>
  <si>
    <t>Cognos kontering:</t>
  </si>
  <si>
    <t>Administrasjon</t>
  </si>
  <si>
    <t>Controller</t>
  </si>
  <si>
    <t>Sum administrasjon (interne kostnader)</t>
  </si>
  <si>
    <t>Mnd</t>
  </si>
  <si>
    <t>Sum personal</t>
  </si>
  <si>
    <t>Fædrelandsvennen AS</t>
  </si>
  <si>
    <t>Pensjon (6% av lønn ihht MNO)</t>
  </si>
  <si>
    <t>NN</t>
  </si>
  <si>
    <t>1 mnd lønnskostnad</t>
  </si>
  <si>
    <t>budsjett 2011</t>
  </si>
  <si>
    <t>Totalt</t>
  </si>
  <si>
    <t>3% lønnsøkn 2011</t>
  </si>
  <si>
    <t>mars</t>
  </si>
  <si>
    <t>Axapta konto</t>
  </si>
  <si>
    <t>DIVERSE FREMMEDYTELSER</t>
  </si>
  <si>
    <t>EKSTERNE SETTERIKOSTNADER</t>
  </si>
  <si>
    <t>DISTRIBUSJONSTJENESTER</t>
  </si>
  <si>
    <t>ANNONSEPROVISJON</t>
  </si>
  <si>
    <t>FAST LØNN</t>
  </si>
  <si>
    <t>BUDLØNN</t>
  </si>
  <si>
    <t>NATT/SKIFTTILLEGG</t>
  </si>
  <si>
    <t>MERTID</t>
  </si>
  <si>
    <t>ULEMPETILLEGG</t>
  </si>
  <si>
    <t>BONUS</t>
  </si>
  <si>
    <t>AVSETNING LØNN</t>
  </si>
  <si>
    <t>ANNET FRAVÆR</t>
  </si>
  <si>
    <t>REFUSJON SYKEPENGER</t>
  </si>
  <si>
    <t xml:space="preserve">SLUTTVEDERLAG </t>
  </si>
  <si>
    <t>SYKEMELDINGER</t>
  </si>
  <si>
    <t>OVERTID</t>
  </si>
  <si>
    <t>ØVRIGE TILLEGG</t>
  </si>
  <si>
    <t>OPPTJENTE FERIEPENGER</t>
  </si>
  <si>
    <t>AVSETNING FERIEPENGER</t>
  </si>
  <si>
    <t>UTBETALTE FERIEPENGER</t>
  </si>
  <si>
    <t>REVERSERING FERIEPENGER</t>
  </si>
  <si>
    <t>AVSETNING STYREHONORAR</t>
  </si>
  <si>
    <t>ARBEIDSGIVERAVGFIT</t>
  </si>
  <si>
    <t>AGA AVSETNING / PERIODISERING</t>
  </si>
  <si>
    <t>AGA OPPTJ FERIEPENGER</t>
  </si>
  <si>
    <t>REV AGA UTB FERIEPENGER</t>
  </si>
  <si>
    <t>REF AGA PERS</t>
  </si>
  <si>
    <t>AGA INNSKUDDSPENSJON</t>
  </si>
  <si>
    <t>PENSJONSPREMIE YTELSE</t>
  </si>
  <si>
    <t>PENSJONSFREMIE YTELSE</t>
  </si>
  <si>
    <t>FØRTIDSPENSJON</t>
  </si>
  <si>
    <t>AGA YTELSESPENSJON</t>
  </si>
  <si>
    <t>REVERSERING PENSJONS</t>
  </si>
  <si>
    <t>ÅPRETS PENSJONS OPPTJ</t>
  </si>
  <si>
    <t>FAST BILGODTGJØRELSE</t>
  </si>
  <si>
    <t>TJENESTEBIL DEBET</t>
  </si>
  <si>
    <t>TJENESTEBIL KREDIT</t>
  </si>
  <si>
    <t>MATPENGER</t>
  </si>
  <si>
    <t>GRATISMIDDAG KANTINE</t>
  </si>
  <si>
    <t>VELFERD</t>
  </si>
  <si>
    <t>GAVER PERSONALET</t>
  </si>
  <si>
    <t>VELFERDI KREDIT</t>
  </si>
  <si>
    <t>GRATIS AVIS ANSATTE</t>
  </si>
  <si>
    <t>BEDRIFTSHELSETJENESE</t>
  </si>
  <si>
    <t>GRUPPELIVSFORSIKRING</t>
  </si>
  <si>
    <t>ANDER PERSONALFORSIKRINGER</t>
  </si>
  <si>
    <t>SLUTTVEDERLAG  OPPL</t>
  </si>
  <si>
    <t>PREMIER TIL FOND</t>
  </si>
  <si>
    <t>FRI AVIS DEBET</t>
  </si>
  <si>
    <t>FRI AVIS KREDIT</t>
  </si>
  <si>
    <t>ANDRE PERSONALKOSTNADER</t>
  </si>
  <si>
    <t>AVSKR AVSKR PAKK</t>
  </si>
  <si>
    <t>AVSKR BILER OG VAREBILER</t>
  </si>
  <si>
    <t>AVSKR INVENTAR</t>
  </si>
  <si>
    <t>AVSKR KOMMUNIKSJONSUTSTYR</t>
  </si>
  <si>
    <t>AVSKR EDB-UTSTYR</t>
  </si>
  <si>
    <t>HUSLEIE OG FELLESKOSTNADER</t>
  </si>
  <si>
    <t>VAKTTJENESTE</t>
  </si>
  <si>
    <t>REP OG VEDLIKEHOLD</t>
  </si>
  <si>
    <t>BELYSNING/OPPVARMING</t>
  </si>
  <si>
    <t>RENHOLDSMATEIELL</t>
  </si>
  <si>
    <t>KJØP DATASYSTEMER</t>
  </si>
  <si>
    <t>VEDLIKEHOLDSKONTR</t>
  </si>
  <si>
    <t>SERVICE- OG KONTRAK</t>
  </si>
  <si>
    <t xml:space="preserve">KONTORINVENTAR </t>
  </si>
  <si>
    <t>FOTOUTSTYR</t>
  </si>
  <si>
    <t>MOBIL TELEFON</t>
  </si>
  <si>
    <t>DRIFTSUTSTYR</t>
  </si>
  <si>
    <t>ARBEIDSTØY</t>
  </si>
  <si>
    <t>ARTIKLER</t>
  </si>
  <si>
    <t>INNENLANDSKE OF</t>
  </si>
  <si>
    <t>BILDER OP/AP</t>
  </si>
  <si>
    <t>BILDER OF</t>
  </si>
  <si>
    <t>TEGNINGER OF</t>
  </si>
  <si>
    <t>TEGNESERIER OF</t>
  </si>
  <si>
    <t>SCANPIX AS ARKIV</t>
  </si>
  <si>
    <t>ITØ-TJENESTER MNO</t>
  </si>
  <si>
    <t>FTS MNO</t>
  </si>
  <si>
    <t>SALG MNO</t>
  </si>
  <si>
    <t>KONSULENT OG ANDRE</t>
  </si>
  <si>
    <t>VIKARBYRÅER</t>
  </si>
  <si>
    <t>HONORAR OP/AP</t>
  </si>
  <si>
    <t>HONORARER MED FER</t>
  </si>
  <si>
    <t>HONORARER OF</t>
  </si>
  <si>
    <t>KONTORREK/TRYKKSAKER</t>
  </si>
  <si>
    <t>AVISER OG TIDSSKRIFTER</t>
  </si>
  <si>
    <t xml:space="preserve">BØKER </t>
  </si>
  <si>
    <t>TV-LISENSER</t>
  </si>
  <si>
    <t>TV-LISENSER OP/AP</t>
  </si>
  <si>
    <t>GAVER IKKE FRADRAG</t>
  </si>
  <si>
    <t>GAVER FRADRAG</t>
  </si>
  <si>
    <t>ANDRE KONTOR OG ADM KOSTN</t>
  </si>
  <si>
    <t>DATALINJER</t>
  </si>
  <si>
    <t>TLF DIR L</t>
  </si>
  <si>
    <t>MOBILTELEFON AVGIF</t>
  </si>
  <si>
    <t>TELEFONKOSTNADER</t>
  </si>
  <si>
    <t>MOB TLF ANS PRIV DE</t>
  </si>
  <si>
    <t>MOB TLF ANS PRIV OF</t>
  </si>
  <si>
    <t>FRAKT/BUDBILER</t>
  </si>
  <si>
    <t>BOMPENGEABM</t>
  </si>
  <si>
    <t>DRIFVSTOFF</t>
  </si>
  <si>
    <t>VEDLIKEHOLD BILER</t>
  </si>
  <si>
    <t>ANDRE BILKOSTNADER</t>
  </si>
  <si>
    <t>REISEKOSTNADER DIETT</t>
  </si>
  <si>
    <t>REISEKOSTNADER ETT</t>
  </si>
  <si>
    <t>BILGODTGJ KM OP/AF</t>
  </si>
  <si>
    <t>DROFSJER OF</t>
  </si>
  <si>
    <t>MØTER</t>
  </si>
  <si>
    <t>KURS OG OPPLÆRING</t>
  </si>
  <si>
    <t>INTERVJU OG REPORT</t>
  </si>
  <si>
    <t>ANNONSER I ANDRE MEDIER</t>
  </si>
  <si>
    <t>TRYKKS/PLAKATER/BR</t>
  </si>
  <si>
    <t>REKLAMEMATERIELL</t>
  </si>
  <si>
    <t>BYTTEAVTALER</t>
  </si>
  <si>
    <t>KJØPSUTLØENDE KAMPANJER</t>
  </si>
  <si>
    <t>SALGSKONKURRANSER</t>
  </si>
  <si>
    <t>EKSTERN TELEMARKETING</t>
  </si>
  <si>
    <t>KUNDELOJALITET</t>
  </si>
  <si>
    <t>PR-KOSTNADER</t>
  </si>
  <si>
    <t>REPRESENTASJON IKKE FRAG</t>
  </si>
  <si>
    <t>KONTINGENTER FRADR</t>
  </si>
  <si>
    <t>KONTINGENTER IKKE FRADRAG</t>
  </si>
  <si>
    <t>ANDRE FORSIKRINGER</t>
  </si>
  <si>
    <t>INNKOMMET PÅ TIDLIGERE TAPSFØRTE FORDRINGER</t>
  </si>
  <si>
    <t>DELKREDERAVSETNINGER</t>
  </si>
  <si>
    <t>INKASSOKOSTNADER</t>
  </si>
  <si>
    <t>PURREGEBYR</t>
  </si>
  <si>
    <t>ØVRIGE TAP</t>
  </si>
  <si>
    <t>NETTANNONSER PL</t>
  </si>
  <si>
    <t>NETTANNONSER FRITT</t>
  </si>
  <si>
    <t>LØSSALG ELEKTRONISK</t>
  </si>
  <si>
    <t>70% av totalt knyttet til papir, rest 30% ihht fordelingsnøkkel</t>
  </si>
  <si>
    <t>50% gjelder papir isolert - rest ihht fordelingsnøkkel</t>
  </si>
  <si>
    <t>Samlet antall ansatte Fvn ihht budsjett 2011</t>
  </si>
  <si>
    <t>Avd 1920-1970 trekkes ut, gjelder kun papir</t>
  </si>
  <si>
    <t>Regnskap ON pr FEBRUAR 2011</t>
  </si>
  <si>
    <t>FVN PN &amp; ON</t>
  </si>
  <si>
    <t>AGA andel</t>
  </si>
  <si>
    <t>nett</t>
  </si>
  <si>
    <t xml:space="preserve">Lønn inkl aga </t>
  </si>
  <si>
    <t>Lønn andel</t>
  </si>
  <si>
    <t>strøm</t>
  </si>
  <si>
    <t>ikke andel kundesenter</t>
  </si>
  <si>
    <t>Trekkes ut Q1</t>
  </si>
  <si>
    <t>rapportert pr februar</t>
  </si>
  <si>
    <t>Mars isolert</t>
  </si>
  <si>
    <t>Pr mars</t>
  </si>
  <si>
    <t>Saldoliste 03-11</t>
  </si>
  <si>
    <t>direkte henførbare kostnader</t>
  </si>
  <si>
    <t>100% fotball 325'</t>
  </si>
  <si>
    <t>MNO Digital jan,feb,mars</t>
  </si>
  <si>
    <t>Andre - kfr Christian</t>
  </si>
  <si>
    <t>Regnskap ON pr MARS 2011</t>
  </si>
  <si>
    <t>TRANSPORTTJENESTER OF</t>
  </si>
  <si>
    <t>ANDRE REFUSJONER OG LØNNSTILSKUDD OF</t>
  </si>
  <si>
    <t>AFP (NY) EGENANDEL OG PREMIE OF/AF</t>
  </si>
  <si>
    <t>DROSJE HJEM/ARBEIDE OP/AP</t>
  </si>
  <si>
    <t>TRENINGSKORT OP/AP</t>
  </si>
  <si>
    <t>GAVER /NATURALYTELSER OP/AP</t>
  </si>
  <si>
    <t>INNB KONTINGENT OP/AP</t>
  </si>
  <si>
    <t>LEIET RENHOLD</t>
  </si>
  <si>
    <t>KUNDESENTER MNO</t>
  </si>
  <si>
    <t>DISTRIBUSJONSKOSTNAD FINN</t>
  </si>
  <si>
    <t>TAP VED AVGANG DRIFTSMIDLER</t>
  </si>
  <si>
    <t>SENTRALBORD  INKL.TELEFAX</t>
  </si>
  <si>
    <t>TLF. ANS.IKKE T.AVT OF</t>
  </si>
  <si>
    <t>GARASJER OG PARKERING</t>
  </si>
  <si>
    <t>LEIE AV BIL</t>
  </si>
  <si>
    <t>SKADER BILER</t>
  </si>
  <si>
    <t>ANDRE REISEKOSTNADER</t>
  </si>
  <si>
    <t xml:space="preserve">ON </t>
  </si>
  <si>
    <t>Sum til fordeling</t>
  </si>
  <si>
    <t>AC</t>
  </si>
  <si>
    <t>BU</t>
  </si>
  <si>
    <t>AC 10</t>
  </si>
  <si>
    <t>Brukerinntekter</t>
  </si>
  <si>
    <t>Annonseinntekter</t>
  </si>
  <si>
    <t>Rubrikkinntekter</t>
  </si>
  <si>
    <t>Øvrige Inntekter</t>
  </si>
  <si>
    <t>Driftsinntekter</t>
  </si>
  <si>
    <t>Varekostnad</t>
  </si>
  <si>
    <t>Lønnskostnader</t>
  </si>
  <si>
    <t>Andre driftskostnader</t>
  </si>
  <si>
    <t>Inntekt fra tilknyttede selskaper</t>
  </si>
  <si>
    <t>Driftsresultat EBITDA</t>
  </si>
  <si>
    <t>Avskrivninger og amortiseringer</t>
  </si>
  <si>
    <t>Sum Driftskostnader</t>
  </si>
  <si>
    <t>Driftsresultat EBITA</t>
  </si>
  <si>
    <t>Nedskrivninger</t>
  </si>
  <si>
    <t>Andre inntekter og kostnader</t>
  </si>
  <si>
    <t>Driftsresultat EBIT</t>
  </si>
  <si>
    <t>EBITDA %</t>
  </si>
  <si>
    <t>EBITA %</t>
  </si>
  <si>
    <t>EBIT %</t>
  </si>
  <si>
    <t>Akkumulert pr februar</t>
  </si>
  <si>
    <t>januar/februar</t>
  </si>
  <si>
    <t>Driftskostnader</t>
  </si>
  <si>
    <t>EBITDA</t>
  </si>
  <si>
    <t>EBITA</t>
  </si>
  <si>
    <t>EBIT</t>
  </si>
  <si>
    <t>Hittil i år mars</t>
  </si>
  <si>
    <t>TABELL TIL SITUASJONSRAPPORT</t>
  </si>
  <si>
    <t>bespareslse lønn</t>
  </si>
  <si>
    <t>overforbruk husleiekostn</t>
  </si>
  <si>
    <t>overforbruk redaksjonelle kostn</t>
  </si>
  <si>
    <t>overforbruk reiser møter</t>
  </si>
  <si>
    <t>underforbk på telefoni div</t>
  </si>
  <si>
    <t>overforbruk kontorkostnader</t>
  </si>
  <si>
    <t>underforbruk forsikringer</t>
  </si>
  <si>
    <t>overforbruk andre honorarer</t>
  </si>
  <si>
    <t>underforbruk avskrivninger</t>
  </si>
  <si>
    <t>overforbruk diverse kostn</t>
  </si>
  <si>
    <t xml:space="preserve">Øvrige driftskostnader                            </t>
  </si>
  <si>
    <t xml:space="preserve">Honorarer for eksterne tjenester                  </t>
  </si>
  <si>
    <t xml:space="preserve">Husleie, vedlikehold og elektrisitet              </t>
  </si>
  <si>
    <t xml:space="preserve">Kontorkostnader                                   </t>
  </si>
  <si>
    <t xml:space="preserve">Redaksjonelt stoff                                </t>
  </si>
  <si>
    <t xml:space="preserve">Transport og møter                                </t>
  </si>
  <si>
    <t xml:space="preserve">Tele, frakt og porto                              </t>
  </si>
  <si>
    <t xml:space="preserve">Forsikringer                                      </t>
  </si>
  <si>
    <t>Media Norge AS</t>
  </si>
  <si>
    <t>Avskrivninger</t>
  </si>
  <si>
    <t>Digital inntekter</t>
  </si>
  <si>
    <t>Belastet</t>
  </si>
  <si>
    <t>Budsjett</t>
  </si>
  <si>
    <t>Avvik</t>
  </si>
  <si>
    <t>Avvik kostnader Q1</t>
  </si>
  <si>
    <t>andre personalkostnader</t>
  </si>
  <si>
    <t>Aga</t>
  </si>
  <si>
    <t>BILTRANSPORT EKSTERNT</t>
  </si>
  <si>
    <t>DISTRIBUSJONSTJENESTER. OF</t>
  </si>
  <si>
    <t>LØSSALGSPROVISJONER</t>
  </si>
  <si>
    <t>FAST LØNN OP/AP</t>
  </si>
  <si>
    <t>BUDLØNN OP/AP</t>
  </si>
  <si>
    <t>NATT-/SKIFTTILLEGG OP/AP</t>
  </si>
  <si>
    <t>MERTID OP/AP</t>
  </si>
  <si>
    <t>DIVERSE LØNN OP/AP</t>
  </si>
  <si>
    <t>ULEMPETILLEGG OP/AP</t>
  </si>
  <si>
    <t>BONUS. OP/AP</t>
  </si>
  <si>
    <t>AVSETNING LØNN OF</t>
  </si>
  <si>
    <t>ANNET FRAVÆR OP/AP</t>
  </si>
  <si>
    <t>REFUSJON SYKEPENGER OF/AP</t>
  </si>
  <si>
    <t>SLUTTVEDERLAG U/FERIEPENGER OP/AP</t>
  </si>
  <si>
    <t>SYKEMELDINGER OFAF DEBET</t>
  </si>
  <si>
    <t>SYKEMELDINGER OFAF KREDIT</t>
  </si>
  <si>
    <t>OVERTID OP/AP</t>
  </si>
  <si>
    <t>ØVRIGE TILLEGG OP/AP</t>
  </si>
  <si>
    <t>OPPTJENTE FERIEPENGER. OF</t>
  </si>
  <si>
    <t>UTBETALTE FERIEPENGER OP/AP</t>
  </si>
  <si>
    <t>REVERSERING FERIEP.. OF</t>
  </si>
  <si>
    <t>AVSETNING STYREHONORAR OF</t>
  </si>
  <si>
    <t>ARBEIDSGIVERAVGIFT</t>
  </si>
  <si>
    <t>AGA. AVSETN./PERIODISERINGER</t>
  </si>
  <si>
    <t>ARB.G.A. OPPTJ. FERIEP.</t>
  </si>
  <si>
    <t>REV ARB.G.A. UTB. FERIEPE</t>
  </si>
  <si>
    <t>REF. ARB.G.AVG. PERS.</t>
  </si>
  <si>
    <t>AFP (NY) EGENANDEL OG PREMIE OF/AP</t>
  </si>
  <si>
    <t>AGA AFP-ORDNING (NY)</t>
  </si>
  <si>
    <t>PENSJONSPREMIE YTELSE OF/AF</t>
  </si>
  <si>
    <t>PENSJONSPREMIE YTELSE OF/AP</t>
  </si>
  <si>
    <t>FØRTIDSPENSJON OP/AP</t>
  </si>
  <si>
    <t>REVERSERING PENSJON YTELSE</t>
  </si>
  <si>
    <t>ÅRETS PENSJ.OPPTJENING (NÅVERDI)</t>
  </si>
  <si>
    <t>AVSETNING/VIDEREFAKT. PENSJON</t>
  </si>
  <si>
    <t>FAST BILGODTGJ.. OP/AP</t>
  </si>
  <si>
    <t>TJENESTEBIL DEBET. OP/AP</t>
  </si>
  <si>
    <t>VIDEREFAKTURERING</t>
  </si>
  <si>
    <t>MATPENGER. OP/AP</t>
  </si>
  <si>
    <t>GRATISMIDDAG KANTINE. OF</t>
  </si>
  <si>
    <t>VELFERD. OF</t>
  </si>
  <si>
    <t>GAVER PERSONALET. OF</t>
  </si>
  <si>
    <t>STIPENDIER. OP/AF</t>
  </si>
  <si>
    <t>VELFERD, KREDIT,OF</t>
  </si>
  <si>
    <t>GRATIS AVIS ANSATTE. OF</t>
  </si>
  <si>
    <t>BEDRIFTSHELSETJENESTE</t>
  </si>
  <si>
    <t>GRUPPELIVSFORS.. OF</t>
  </si>
  <si>
    <t>GRUPPELIVSFORSIKRING . OP/AP</t>
  </si>
  <si>
    <t>ANDRE PERSONALFORS.. OF</t>
  </si>
  <si>
    <t>SLUTTVEDERLAG OPPLYSNINGS- OG UTVIKLINGSFOND OF</t>
  </si>
  <si>
    <t>PREMIER TIL FOND DL. DEB.</t>
  </si>
  <si>
    <t>PREMIER TIL FOND. DL KRED</t>
  </si>
  <si>
    <t>FRI AVIS. DEBET OP/AP</t>
  </si>
  <si>
    <t>FRI AVIS. KREDIT. OF</t>
  </si>
  <si>
    <t>AFP. EGENANDEL OG PREMIE OF/AF</t>
  </si>
  <si>
    <t>AVSKR. AVSKR. PÅK. LEIDE LOKALER</t>
  </si>
  <si>
    <t>AVSKR. BILER OG VAREBILER</t>
  </si>
  <si>
    <t>AVSKR. INVENTAR</t>
  </si>
  <si>
    <t>AVSKR. KOMMUNIKASJONS- OG FOTOUTSTYR</t>
  </si>
  <si>
    <t>REPARASJON OG VEDLIKEHOLD</t>
  </si>
  <si>
    <t>RENHOLDSMATERIELL</t>
  </si>
  <si>
    <t>VEDLIKEHOLDSKONTRAKTER</t>
  </si>
  <si>
    <t>SERVICE OG -KONTRAKTER</t>
  </si>
  <si>
    <t>KONTORINVENTAR- OG MASKINER</t>
  </si>
  <si>
    <t>MOBILTLF</t>
  </si>
  <si>
    <t>DRIFTSUTSTYR (MAT./V.TØY)</t>
  </si>
  <si>
    <t>ARBEIDSTØY.  DATABRILLER.OF</t>
  </si>
  <si>
    <t>ARTIKLER. OP/AP</t>
  </si>
  <si>
    <t>INNENLANDSKE. OF</t>
  </si>
  <si>
    <t>BILDER. OP/AP</t>
  </si>
  <si>
    <t>BILDER. OF</t>
  </si>
  <si>
    <t>TEGNINGER. OF</t>
  </si>
  <si>
    <t>TEGNESERIER. OF</t>
  </si>
  <si>
    <t>SCANPIX AS. ARKIV.OF</t>
  </si>
  <si>
    <t>IT-TJENESTER MNO</t>
  </si>
  <si>
    <t>REDAKSJONELLE PRODUKTER MNO</t>
  </si>
  <si>
    <t>REVISJONSHONORAR. OF</t>
  </si>
  <si>
    <t>JURIDISK BISTAND. OF</t>
  </si>
  <si>
    <t>KONSULENT- OG ANDRE HONORARER. OF</t>
  </si>
  <si>
    <t>VIKARBYRÅER /INNLEID ARBEIDSKRAFT</t>
  </si>
  <si>
    <t>HONORAR  OP/AP</t>
  </si>
  <si>
    <t>HONORARER MED FERIEPENGER (10,2%)OP/AP</t>
  </si>
  <si>
    <t>KONTORREK./TRYKKSAKER</t>
  </si>
  <si>
    <t>BØKER</t>
  </si>
  <si>
    <t>TV-LISENSER. OP/AP</t>
  </si>
  <si>
    <t>GAVER, FRADRADRAGSBERETTIGET OF</t>
  </si>
  <si>
    <t>GAVER, IKKE FRADRADRAGSBERETTIGET OF</t>
  </si>
  <si>
    <t>ANDRE KONTOR- OG ADMINISTRASJONSKOSTNADER</t>
  </si>
  <si>
    <t>TLF.DIR.L. (INKL.TELEFAX)</t>
  </si>
  <si>
    <t>MOBILTELEFON AVGIFT</t>
  </si>
  <si>
    <t>TELEFONKOSTNADER ANSATTE OP/AF</t>
  </si>
  <si>
    <t>MOB.TLF.ANS.PRIV. DEB OP/AP</t>
  </si>
  <si>
    <t>MOB.TLF.ANS.PRIV. OF KRED</t>
  </si>
  <si>
    <t>BOMPENGEABM./AVG OP/AP</t>
  </si>
  <si>
    <t>DRIVSTOFF</t>
  </si>
  <si>
    <t>REISEKOSTNADER DIETT U/OVERNAT. OP/AF</t>
  </si>
  <si>
    <t>REISEKOSTNADER DIETT M/OVERNAT. OP/AF</t>
  </si>
  <si>
    <t>REISEKOSTNADER ETTER REGNING OF</t>
  </si>
  <si>
    <t>BILGODTGJ. KM.. OP/AF</t>
  </si>
  <si>
    <t>DROSJER. OF</t>
  </si>
  <si>
    <t>INTERVJU OG REPORTASJEKOSTNADER</t>
  </si>
  <si>
    <t>ANNONSER I ANDRE MEDIA</t>
  </si>
  <si>
    <t>TRYKKS./PLAKATER/BROSJ.</t>
  </si>
  <si>
    <t>KJØPSUTLØSENDE KAMPANJER</t>
  </si>
  <si>
    <t>SALGSKONKURRANSER/PREMIER INTERNT</t>
  </si>
  <si>
    <t>LEIE AV STANDS - DIR.SALG. MATERIELL</t>
  </si>
  <si>
    <t>REPRESENTASJ..IKKE FRADR. OF</t>
  </si>
  <si>
    <t>KONTINGENTER. FRADR.BER.</t>
  </si>
  <si>
    <t>KONTINGENTER. IKKE FRADR.</t>
  </si>
  <si>
    <t>TAP PÅ ANNONSØRER</t>
  </si>
  <si>
    <t>INNKOMMET PÅ TIDL TAP</t>
  </si>
  <si>
    <t>DELKREDERAVSETNING</t>
  </si>
  <si>
    <t>NETTANNONSER, PL</t>
  </si>
  <si>
    <t>NETTANNONSER, FRI</t>
  </si>
  <si>
    <t>LØSSALG ELEKTRONISK AVIS PDF, PL</t>
  </si>
  <si>
    <t>LØSSALG ELEKTRONISK AVIS PDF, FR</t>
  </si>
  <si>
    <t>SALDOLISTE PR APRIL 2011</t>
  </si>
  <si>
    <t>Regnskap ON pr April 2011</t>
  </si>
  <si>
    <t>rapportert pr mars</t>
  </si>
  <si>
    <t>April isolert</t>
  </si>
  <si>
    <t>Pr april</t>
  </si>
  <si>
    <t>Saldoliste 04-11</t>
  </si>
  <si>
    <t>100% fotball 433'</t>
  </si>
  <si>
    <t>MNO Digital jan,feb,mars,april</t>
  </si>
  <si>
    <t>avvik snitt april pr mnd mot april isolert</t>
  </si>
  <si>
    <t>avvik snitt mars pr mnd mot april isolert</t>
  </si>
  <si>
    <t>Sum kostnader pr mars</t>
  </si>
  <si>
    <t>Snitt pr mars</t>
  </si>
  <si>
    <t>honorar pr Q1</t>
  </si>
  <si>
    <t xml:space="preserve">Avvik ON </t>
  </si>
  <si>
    <t>Media Norge kostnader</t>
  </si>
  <si>
    <t xml:space="preserve">Digital </t>
  </si>
  <si>
    <t>Andel undersk 100% fotball</t>
  </si>
  <si>
    <t>Andel FTS</t>
  </si>
  <si>
    <t>MNO IT</t>
  </si>
  <si>
    <t>Sum MNO</t>
  </si>
  <si>
    <t>Kundesenter MNO</t>
  </si>
  <si>
    <t>Andre personalkostnader</t>
  </si>
  <si>
    <t>(BUD 4670 for 2011)</t>
  </si>
  <si>
    <t>BUD 1214 for 2011</t>
  </si>
  <si>
    <t>ikke budsjettert</t>
  </si>
  <si>
    <t>APRIL 2011</t>
  </si>
  <si>
    <t>MARS 2011</t>
  </si>
  <si>
    <t>APRIL ISOLERT</t>
  </si>
  <si>
    <t>ANDRE HONROARER</t>
  </si>
  <si>
    <t>PR APRIL</t>
  </si>
  <si>
    <t>TIL CHR</t>
  </si>
  <si>
    <t>AVVIK</t>
  </si>
  <si>
    <t>AVvIK</t>
  </si>
  <si>
    <t>Bud april</t>
  </si>
  <si>
    <t>MEDIA NORGE KOSTNADER APRIL</t>
  </si>
  <si>
    <t>Distribusjon</t>
  </si>
  <si>
    <t>Husleie mv.</t>
  </si>
  <si>
    <t>Opplagsinntekter</t>
  </si>
  <si>
    <t>Trykking</t>
  </si>
  <si>
    <t>Tap på krav annonser</t>
  </si>
  <si>
    <t>Løssalgsprovisjon</t>
  </si>
  <si>
    <t>Avskrivning</t>
  </si>
  <si>
    <t>Opplagsavdeling</t>
  </si>
  <si>
    <t>Kundesenter</t>
  </si>
  <si>
    <t>Admininistrasjon</t>
  </si>
  <si>
    <t>Antall ansatte</t>
  </si>
  <si>
    <t>Opplag / lesermarked</t>
  </si>
  <si>
    <t>Marked/annonse</t>
  </si>
  <si>
    <t>Bet. Nett</t>
  </si>
  <si>
    <t>Fritt.nett</t>
  </si>
  <si>
    <t>HR-controllere - vaktmester</t>
  </si>
  <si>
    <t>Øvrig admin / ledelse - fakturering</t>
  </si>
  <si>
    <t>Sum nett</t>
  </si>
  <si>
    <t>Red. papiravis</t>
  </si>
  <si>
    <t>Tabellen over i %</t>
  </si>
  <si>
    <t>Regnskap</t>
  </si>
  <si>
    <t>Annonseprovisjon</t>
  </si>
  <si>
    <t>Sum administrasjonen</t>
  </si>
  <si>
    <t>Red. uten desk (50/50 nett og papir)</t>
  </si>
  <si>
    <t>Dagens løsning</t>
  </si>
  <si>
    <t>Redaksjonen totale kostnader</t>
  </si>
  <si>
    <t>Felleskostnader regnskap</t>
  </si>
  <si>
    <t>Korrigering ekstraordinære kostnader</t>
  </si>
  <si>
    <t>Modellen</t>
  </si>
  <si>
    <t>Formel for å finne andel av opplagsinntektene som utgjør mva-grunnlaget</t>
  </si>
  <si>
    <t>Kostnader betalt nett (J23) delt på (sum kostnader ved dagens løsning (G23) minus kostnader fritt nett (K23)):</t>
  </si>
  <si>
    <t>Denne prosentandelen anvendes så på opplagsinntektene for å finne hvor stor andel av disse som</t>
  </si>
  <si>
    <t>"kommer" fra betalt digitalt innhold</t>
  </si>
  <si>
    <t>Siden dette ville vært inkl. mva må mva trekkes fra for å komme frem til mva-grunnlaget</t>
  </si>
  <si>
    <t>Dette mva-grunnlaget gir da følgende mva som skal innbetales</t>
  </si>
  <si>
    <t>Hoder</t>
  </si>
  <si>
    <t>Andre korrigeringer</t>
  </si>
  <si>
    <t>Korrigert regnskap</t>
  </si>
  <si>
    <t>Opplag</t>
  </si>
  <si>
    <t>Følgende må med på faktura</t>
  </si>
  <si>
    <t>Abonnementspris</t>
  </si>
  <si>
    <t>Mva</t>
  </si>
  <si>
    <t>Herav mva-grunnlag 25 %</t>
  </si>
  <si>
    <t>Nøkkel*</t>
  </si>
  <si>
    <t>Ekstraordinære poster</t>
  </si>
  <si>
    <t>Annonse/markedsavdeling</t>
  </si>
  <si>
    <t>Reklamekostnader annonser</t>
  </si>
  <si>
    <t xml:space="preserve">Kostnadsmodell for beregning av mva-grunnlag for betalt digitalt innhold </t>
  </si>
  <si>
    <t>Totalt redaksjonen eks. desk</t>
  </si>
  <si>
    <t>Totalt på desken</t>
  </si>
  <si>
    <t>Totalt for avisen</t>
  </si>
  <si>
    <t>Pr. 31.12.2012</t>
  </si>
  <si>
    <t>Tall i 1.000 kr</t>
  </si>
  <si>
    <t>Betalt digitalt innhold</t>
  </si>
  <si>
    <t>Fritt digitalt innhold</t>
  </si>
  <si>
    <t>Sum digitalt innhold</t>
  </si>
  <si>
    <t>Sum kostnader</t>
  </si>
  <si>
    <t>Uten åpent nett</t>
  </si>
  <si>
    <t>Kostnadsmodell for beregning av mva</t>
  </si>
  <si>
    <t>1 Hva modellen er</t>
  </si>
  <si>
    <t>2 Hva modellen ikke er</t>
  </si>
  <si>
    <t xml:space="preserve">Den er ikke svaret på alle mva-utfordringer. MBL fortsetter arbeidet for å få endret mva-loven. </t>
  </si>
  <si>
    <t>3 Hva Skattedirektoratet sier om modellen</t>
  </si>
  <si>
    <t xml:space="preserve">Modellen fordeler alle kostnadene knyttet til å bringe redaksjonelt stoff og annonser ut til leserne på henholdsvis papiravis, betalt digitalt innhold og eventuelt gratis digitalt innhold. </t>
  </si>
  <si>
    <t>Deretter beregnes hvor stor andel kostnadene til betalt digitalt innhold utgjør av de totale kostnadene (minus kostnadene til eventuelt gratis digitalt innhold).</t>
  </si>
  <si>
    <t xml:space="preserve">Denne prosentandelen anvendes deretter på leserinntektene. Dette beløpet vil være mva-grunnlaget inkl. mva. For å finne netto mva-grunnlag må beløpet multipliseres med 0,8. </t>
  </si>
  <si>
    <t>*Nøkkelen angir hvor stor andel av kostnaden som skal henføres til sum kostnader.</t>
  </si>
  <si>
    <t>Mva-prosent</t>
  </si>
  <si>
    <t xml:space="preserve">De gule cellene må fylles inn. </t>
  </si>
  <si>
    <t>Kostnader betalt nett (J23) delt på (sum kostnader ved dagens løsning (G23) minus kostnader fritt nett (K23)).</t>
  </si>
  <si>
    <t xml:space="preserve">Kolonnen "Nøkkel" angir hvor stor andel av tallet i kolonnen til venstre som skal tas med. Her må hver enkelt bedrift gjøre seg opp en mening om egne tall, basert på en fornuftig fordeling man kan argumentere godt for. </t>
  </si>
  <si>
    <t xml:space="preserve">Cellene i denne kolonnen som er merket "Hoder" refererer til beregningen i kolonnene M til T. Her gjøres en fordeling av ansatte i henhold til om deres tid brukes på oppgaver knyttet til det redaksjonelle produktet eller ikke. </t>
  </si>
  <si>
    <t>4 Oversikt over modellen (se også merknader for noen celler)</t>
  </si>
  <si>
    <t>5 Formel for å finne andel av opplagsinntektene som utgjør brutto mva-grunnlag</t>
  </si>
  <si>
    <t xml:space="preserve">De grå cellene i kolonne C viser konsekvensene av å ikke ha åpne, gratis nettsiden. Da øker mva-belastningen, siden alle digitale kostnader må legges på det betalte digitale innholdet. </t>
  </si>
  <si>
    <t xml:space="preserve">Sitatene er fra Skattedirektoratets brev: "Bakgrunnen for denne uttalelsen er et ønske fra mediebransjen om å finne frem til en omforent fremgangsmåte eller modell for fastsettelse av merverdiavgiftsgrunnlaget når et abonnement dekker både levering av papiraviser og tilgang til digitale avisprodukter." "Skattedirektoratet finner det prinsipielt riktig at det skjønn som må foretas for å komme frem til avgiftsgrunnlaget for den avgiftspliktige del av omhandlede fellesabonnementer, baseres på forholdet mellom kostnadene med fremstilling og distribusjon av hver av ytelsene." Direktoratets konklusjon: "Skattedirektoratet finner med forbehold om at felleskostnadene, steg 3, ikke fordeles på grunnlag av faktisk bruk (antall treff etc.), og at kostnadene til frie elektroniske aviser utelates fra nevneren i den endelige fordelingsbrøken, steg 5, at avishus som finner det formålstjenlig, kan benytte den presenterte beregningsmodellen som grunnlag for en skjønnsmessig fordeling av abonnementsinntektene i avgiftspliktig og fritatt del. I utgangspunktet bør det i alle steg tilstrebes en fordeling på grunnlag av faktiske kostnader, men en fordeling 50/50 kan benyttes for fellesutgifter der dette ikke gir et åpenbart uriktig resultat. Modellen er begrenset til bruk i avishus som bare har én type abonnement, som gir alle abonnentene tilgang til både papiravis og elektronisk avis." MBLs kommentar til siste setning: Dette betyr at direktoratet går god for modellene i slike tilfeller, men det betyr ikke at den ikke kan anvendes også i andre tilfeller. Forskjellen er at da må bedriften argumentere for hvorfor det er riktig å anvende modellen, og det er ikke sikkert at skattemyndighetene godtar bruken. </t>
  </si>
  <si>
    <t xml:space="preserve">Modellen er et hjelpemiddel for å beregne mva. Hensikten med modellen er å gi bedriftene en fremgangsmåte som skattemyndighetene har godkjent, og som gjør mva-belastningen så lav som mulig innenfor dagens mva-lov. Tallene er kun et teoretisk eksempel. Mva-prosenten vil variere fra bedrift til bedrift. Beregningen må gjøres årlig, basert på tall fra årsregnskapet fra siste år. </t>
  </si>
  <si>
    <t>4 Modellens elementer</t>
  </si>
  <si>
    <t>Modellen har følgende steg:
(1) Kostnader knyttet til annonsevirksomhet trekkes ut, det vil si tas ut av regnestykket. Det samme gjelder eventuelle andre kostnader som ikke vedkommer avisproduksjonen.
(2) Særkostnader knyttet til henholdsvis papirutgaven (trykking og distribusjon mv.) og digital produksjon, tilordnes hvert av produktene. Fordi særkostnadene er så vidt store for papiravisen sammenlignet med den digitale distribusjonen, vil det her normalt oppstå en betydelig skjevhet mellom papiravisen og digitale produkter, hvor hovedtyngden ligger på papir. 
(3) Felleskostnader (ansattes lønn, administrasjon mv.) fordeles etter anslått bruk. En fordeling 50/50 kan etter bransjens syn være naturlig hvor det ikke er grunnlag for å hevde at bruken er ujevnt fordelt. Det må imidlertid være rom for forholdsmessig fordeling basert på faktiske kostnader. Her vil det kunne variere mellom de ulike mediehusene hvordan journalistene og øvrige ansatte arbeider, hvilket utstyr de bruker til hva og hvor mye mv. Noen felleskostnader kan derfor være egnet til deling 50/50 mens andre bør deles skjevt. Til sammenligning vises til de regler som gjelder ved fastsettelsen av fordelingsnøkler etter bestemmelsene i merverdiavgiftslovens § 8-2 om forholdsmessig fradrag for delt virksomhet. 
(4) Sær- og felleskostnadene for den digitale avisproduksjonen fordeles mellom eventuell gratis nettavis (og/eller andre relevante gratis avisprodukter som knytter seg til samme innholdsproduksjon), og de digitale avisproduktene det tas betalt for. Også her vil det kunne være forskjeller mellom mediehusene basert på hvilke produkter de tilbyr og hvordan kostnadene fordeler seg mellom disse. Fordelingen forutsetter et visst rom for skjønn, men forutsettes å være basert på faktiske forhold som lar seg kontrollere/etterprøve.
(5) I steg 5 ses kostnadene for den betalte nettavisen i forhold til de totale kostnadene for innholdsproduksjonen, dvs. produksjonen av redaksjonelt stoff, ikke annonser. Dette fordi det må kunne legges til grunn at det er det redaksjonelle innholdet aviskundene er ute etter og villige til å betale for, ikke annonsene.
Forholdstallet mellom de to kostnadsstørrelsene gir en brøk/prosent som igjen foreslås anvendt på opplagsinntektene, dvs. de inntekter avisen har fra abonnentene alene, slik at det er den andelen av abonnementsinntektene som svarer til kostnadsandelen for betalt nettavis, som skal avgiftsberegnes med 25 %. 
Fordi abonnementsinntektene representerer prisen ut til kundene, må merverdiavgiften trekkes ut av denne. At man ”henter” grunnlaget for avgiftsberegningen fra de faktiske opplags-/abonnementsinntektene, sikrer samtidig at også fortjenesteelementet er med i grunnlaget.</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</si>
</sst>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quot;kr&quot;\ * #,##0.00_ ;_ &quot;kr&quot;\ * \-#,##0.00_ ;_ &quot;kr&quot;\ * &quot;-&quot;??_ ;_ @_ "/>
    <numFmt numFmtId="43" formatCode="_ * #,##0.00_ ;_ * \-#,##0.00_ ;_ * &quot;-&quot;??_ ;_ @_ "/>
    <numFmt numFmtId="164" formatCode="_(* #,##0_);_(* \(#,##0\);_(* &quot;-&quot;_);_(@_)"/>
    <numFmt numFmtId="165" formatCode="_(* #,##0.00_);_(* \(#,##0.00\);_(* &quot;-&quot;??_);_(@_)"/>
    <numFmt numFmtId="166" formatCode="_ * #,##0_ ;_ * \-#,##0_ ;_ * &quot;-&quot;??_ ;_ @_ "/>
    <numFmt numFmtId="167" formatCode="0.000"/>
    <numFmt numFmtId="168" formatCode="0.0\ %"/>
    <numFmt numFmtId="169" formatCode="_(* #,##0_);_(* \(#,##0\);_(* &quot;-&quot;??_);_(@_)"/>
    <numFmt numFmtId="170" formatCode="_ &quot;kr&quot;\ * #,##0_ ;_ &quot;kr&quot;\ * \-#,##0_ ;_ &quot;kr&quot;\ * &quot;-&quot;??_ ;_ @_ "/>
    <numFmt numFmtId="171" formatCode="_ * #,##0_ ;_ * \-#,##0_ ;_ * &quot;-&quot;?_ ;_ @_ "/>
    <numFmt numFmtId="172" formatCode="_ &quot;kr&quot;\ * #,##0_ ;_ &quot;kr&quot;\ * \-#,##0_ ;_ &quot;kr&quot;\ * &quot;-&quot;?_ ;_ @_ "/>
  </numFmts>
  <fonts count="51" x14ac:knownFonts="1">
    <font>
      <sz val="10"/>
      <name val="Arial"/>
    </font>
    <font>
      <sz val="10"/>
      <name val="Arial"/>
      <family val="2"/>
    </font>
    <font>
      <b/>
      <sz val="10"/>
      <name val="Arial"/>
      <family val="2"/>
    </font>
    <font>
      <sz val="8"/>
      <name val="Arial"/>
      <family val="2"/>
    </font>
    <font>
      <sz val="10"/>
      <name val="Arial"/>
      <family val="2"/>
    </font>
    <font>
      <b/>
      <sz val="14"/>
      <name val="Arial"/>
      <family val="2"/>
    </font>
    <font>
      <sz val="11"/>
      <color indexed="60"/>
      <name val="Calibri"/>
      <family val="2"/>
    </font>
    <font>
      <sz val="9"/>
      <name val="Arial"/>
      <family val="2"/>
    </font>
    <font>
      <b/>
      <sz val="9"/>
      <name val="Arial"/>
      <family val="2"/>
    </font>
    <font>
      <i/>
      <sz val="9"/>
      <name val="Arial"/>
      <family val="2"/>
    </font>
    <font>
      <i/>
      <sz val="10"/>
      <name val="Arial"/>
      <family val="2"/>
    </font>
    <font>
      <sz val="9"/>
      <color indexed="10"/>
      <name val="Arial"/>
      <family val="2"/>
    </font>
    <font>
      <b/>
      <sz val="9"/>
      <name val="Arial"/>
      <family val="2"/>
    </font>
    <font>
      <sz val="11"/>
      <color indexed="20"/>
      <name val="Calibri"/>
      <family val="2"/>
    </font>
    <font>
      <sz val="11"/>
      <name val="Arial"/>
      <family val="2"/>
    </font>
    <font>
      <sz val="9"/>
      <name val="Arial"/>
      <family val="2"/>
    </font>
    <font>
      <sz val="8"/>
      <color indexed="81"/>
      <name val="Tahoma"/>
      <family val="2"/>
    </font>
    <font>
      <b/>
      <sz val="8"/>
      <color indexed="81"/>
      <name val="Tahoma"/>
      <family val="2"/>
    </font>
    <font>
      <b/>
      <sz val="12"/>
      <name val="Arial"/>
      <family val="2"/>
    </font>
    <font>
      <sz val="11"/>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0"/>
      <color theme="0"/>
      <name val="Arial"/>
      <family val="2"/>
    </font>
    <font>
      <i/>
      <sz val="11"/>
      <color theme="1"/>
      <name val="Calibri"/>
      <family val="2"/>
      <scheme val="minor"/>
    </font>
    <font>
      <sz val="9"/>
      <color rgb="FF92D050"/>
      <name val="Arial"/>
      <family val="2"/>
    </font>
    <font>
      <sz val="9"/>
      <color rgb="FFFF0000"/>
      <name val="Arial"/>
      <family val="2"/>
    </font>
    <font>
      <b/>
      <sz val="8"/>
      <color theme="1"/>
      <name val="Tahoma"/>
      <family val="2"/>
    </font>
    <font>
      <sz val="8"/>
      <color theme="1"/>
      <name val="Tahoma"/>
      <family val="2"/>
    </font>
    <font>
      <sz val="9"/>
      <color indexed="81"/>
      <name val="Tahoma"/>
      <family val="2"/>
    </font>
    <font>
      <sz val="11"/>
      <color rgb="FF1F497D"/>
      <name val="Calibri"/>
      <family val="2"/>
    </font>
    <font>
      <sz val="10"/>
      <color theme="0" tint="-0.249977111117893"/>
      <name val="Arial"/>
      <family val="2"/>
    </font>
    <font>
      <sz val="10"/>
      <name val="Arial"/>
    </font>
    <font>
      <sz val="9"/>
      <color theme="1"/>
      <name val="Tahoma"/>
      <family val="2"/>
    </font>
    <font>
      <sz val="10"/>
      <color theme="1" tint="0.499984740745262"/>
      <name val="Arial"/>
      <family val="2"/>
    </font>
    <font>
      <sz val="10"/>
      <color theme="0" tint="-0.499984740745262"/>
      <name val="Arial"/>
      <family val="2"/>
    </font>
    <font>
      <b/>
      <sz val="11"/>
      <name val="Arial"/>
      <family val="2"/>
    </font>
    <font>
      <u/>
      <sz val="10"/>
      <color theme="1" tint="0.499984740745262"/>
      <name val="Arial"/>
      <family val="2"/>
    </font>
    <font>
      <b/>
      <sz val="9"/>
      <color indexed="81"/>
      <name val="Tahoma"/>
      <charset val="1"/>
    </font>
  </fonts>
  <fills count="66">
    <fill>
      <patternFill patternType="none"/>
    </fill>
    <fill>
      <patternFill patternType="gray125"/>
    </fill>
    <fill>
      <patternFill patternType="solid">
        <fgColor indexed="45"/>
      </patternFill>
    </fill>
    <fill>
      <patternFill patternType="solid">
        <fgColor indexed="43"/>
      </patternFill>
    </fill>
    <fill>
      <patternFill patternType="solid">
        <fgColor indexed="43"/>
        <bgColor indexed="64"/>
      </patternFill>
    </fill>
    <fill>
      <patternFill patternType="solid">
        <fgColor indexed="46"/>
        <bgColor indexed="64"/>
      </patternFill>
    </fill>
    <fill>
      <patternFill patternType="solid">
        <fgColor indexed="42"/>
        <bgColor indexed="64"/>
      </patternFill>
    </fill>
    <fill>
      <patternFill patternType="solid">
        <fgColor indexed="41"/>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FFCC"/>
      </patternFill>
    </fill>
    <fill>
      <patternFill patternType="solid">
        <fgColor rgb="FFFFFF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rgb="FF00FF00"/>
        <bgColor indexed="64"/>
      </patternFill>
    </fill>
    <fill>
      <patternFill patternType="solid">
        <fgColor rgb="FFFFC00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2" tint="-0.249977111117893"/>
        <bgColor indexed="64"/>
      </patternFill>
    </fill>
    <fill>
      <patternFill patternType="solid">
        <fgColor rgb="FF0070C0"/>
        <bgColor indexed="64"/>
      </patternFill>
    </fill>
    <fill>
      <patternFill patternType="solid">
        <fgColor rgb="FF99FF66"/>
        <bgColor indexed="64"/>
      </patternFill>
    </fill>
    <fill>
      <patternFill patternType="solid">
        <fgColor rgb="FFFFCCFF"/>
        <bgColor indexed="64"/>
      </patternFill>
    </fill>
    <fill>
      <patternFill patternType="solid">
        <fgColor rgb="FFFF9966"/>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66CCFF"/>
        <bgColor indexed="64"/>
      </patternFill>
    </fill>
    <fill>
      <patternFill patternType="solid">
        <fgColor rgb="FF00FFCC"/>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0" tint="-0.3499862666707357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22"/>
      </top>
      <bottom style="thin">
        <color indexed="22"/>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67">
    <xf numFmtId="0" fontId="0" fillId="0" borderId="0"/>
    <xf numFmtId="0" fontId="20"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21" fillId="31"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21" fillId="34" borderId="0" applyNumberFormat="0" applyBorder="0" applyAlignment="0" applyProtection="0"/>
    <xf numFmtId="0" fontId="22" fillId="35" borderId="19" applyNumberFormat="0" applyAlignment="0" applyProtection="0"/>
    <xf numFmtId="0" fontId="23" fillId="36" borderId="20" applyNumberFormat="0" applyAlignment="0" applyProtection="0"/>
    <xf numFmtId="0" fontId="13" fillId="2" borderId="0" applyNumberFormat="0" applyBorder="0" applyAlignment="0" applyProtection="0"/>
    <xf numFmtId="0" fontId="13" fillId="2" borderId="0" applyNumberFormat="0" applyBorder="0" applyAlignment="0" applyProtection="0"/>
    <xf numFmtId="0" fontId="24" fillId="0" borderId="0" applyNumberFormat="0" applyFill="0" applyBorder="0" applyAlignment="0" applyProtection="0"/>
    <xf numFmtId="0" fontId="25" fillId="37" borderId="0" applyNumberFormat="0" applyBorder="0" applyAlignment="0" applyProtection="0"/>
    <xf numFmtId="0" fontId="26" fillId="0" borderId="21" applyNumberFormat="0" applyFill="0" applyAlignment="0" applyProtection="0"/>
    <xf numFmtId="0" fontId="27" fillId="0" borderId="22" applyNumberFormat="0" applyFill="0" applyAlignment="0" applyProtection="0"/>
    <xf numFmtId="0" fontId="28" fillId="0" borderId="23" applyNumberFormat="0" applyFill="0" applyAlignment="0" applyProtection="0"/>
    <xf numFmtId="0" fontId="28" fillId="0" borderId="0" applyNumberFormat="0" applyFill="0" applyBorder="0" applyAlignment="0" applyProtection="0"/>
    <xf numFmtId="0" fontId="29" fillId="38" borderId="19" applyNumberFormat="0" applyAlignment="0" applyProtection="0"/>
    <xf numFmtId="0" fontId="30" fillId="0" borderId="24" applyNumberFormat="0" applyFill="0" applyAlignment="0" applyProtection="0"/>
    <xf numFmtId="0" fontId="4" fillId="0" borderId="0">
      <alignment vertical="top"/>
    </xf>
    <xf numFmtId="0" fontId="20" fillId="0" borderId="0"/>
    <xf numFmtId="0" fontId="4" fillId="0" borderId="0"/>
    <xf numFmtId="0" fontId="20" fillId="0" borderId="0"/>
    <xf numFmtId="0" fontId="20" fillId="39" borderId="25" applyNumberFormat="0" applyFont="0" applyAlignment="0" applyProtection="0"/>
    <xf numFmtId="0" fontId="6" fillId="3" borderId="0" applyNumberFormat="0" applyBorder="0" applyAlignment="0" applyProtection="0"/>
    <xf numFmtId="0" fontId="31" fillId="35" borderId="26" applyNumberFormat="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2" fillId="0" borderId="0" applyNumberFormat="0" applyFill="0" applyBorder="0" applyAlignment="0" applyProtection="0"/>
    <xf numFmtId="0" fontId="33" fillId="0" borderId="27" applyNumberFormat="0" applyFill="0" applyAlignment="0" applyProtection="0"/>
    <xf numFmtId="165" fontId="1"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19"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34" fillId="0" borderId="0" applyNumberFormat="0" applyFill="0" applyBorder="0" applyAlignment="0" applyProtection="0"/>
    <xf numFmtId="44" fontId="44" fillId="0" borderId="0" applyFont="0" applyFill="0" applyBorder="0" applyAlignment="0" applyProtection="0"/>
  </cellStyleXfs>
  <cellXfs count="352">
    <xf numFmtId="0" fontId="0" fillId="0" borderId="0" xfId="0"/>
    <xf numFmtId="0" fontId="0" fillId="0" borderId="0" xfId="0" applyBorder="1"/>
    <xf numFmtId="0" fontId="2" fillId="0" borderId="0" xfId="0" applyFont="1"/>
    <xf numFmtId="0" fontId="4" fillId="0" borderId="0" xfId="0" applyFont="1"/>
    <xf numFmtId="2" fontId="0" fillId="0" borderId="0" xfId="0" applyNumberFormat="1"/>
    <xf numFmtId="2" fontId="0" fillId="0" borderId="0" xfId="0" applyNumberFormat="1" applyBorder="1"/>
    <xf numFmtId="2" fontId="2" fillId="0" borderId="0" xfId="0" applyNumberFormat="1" applyFont="1"/>
    <xf numFmtId="0" fontId="5" fillId="0" borderId="0" xfId="0" applyFont="1"/>
    <xf numFmtId="0" fontId="4" fillId="0" borderId="0" xfId="0" applyFont="1" applyBorder="1"/>
    <xf numFmtId="0" fontId="4" fillId="0" borderId="0" xfId="0" applyFont="1" applyFill="1" applyBorder="1"/>
    <xf numFmtId="0" fontId="0" fillId="0" borderId="0" xfId="0" applyFill="1"/>
    <xf numFmtId="0" fontId="0" fillId="0" borderId="0" xfId="0" applyFill="1" applyBorder="1"/>
    <xf numFmtId="0" fontId="7" fillId="0" borderId="0" xfId="0" applyFont="1"/>
    <xf numFmtId="3" fontId="7" fillId="0" borderId="0" xfId="0" applyNumberFormat="1" applyFont="1"/>
    <xf numFmtId="0" fontId="7" fillId="0" borderId="0" xfId="0" applyFont="1" applyAlignment="1">
      <alignment horizontal="center"/>
    </xf>
    <xf numFmtId="0" fontId="8" fillId="0" borderId="0" xfId="0" applyFont="1"/>
    <xf numFmtId="3" fontId="7" fillId="0" borderId="0" xfId="0" applyNumberFormat="1" applyFont="1" applyAlignment="1">
      <alignment horizontal="center"/>
    </xf>
    <xf numFmtId="0" fontId="8" fillId="0" borderId="0" xfId="0" applyFont="1" applyAlignment="1">
      <alignment horizontal="center"/>
    </xf>
    <xf numFmtId="0" fontId="7" fillId="0" borderId="4" xfId="0" applyFont="1" applyBorder="1"/>
    <xf numFmtId="3" fontId="7" fillId="0" borderId="4" xfId="0" applyNumberFormat="1" applyFont="1" applyBorder="1"/>
    <xf numFmtId="0" fontId="7" fillId="0" borderId="0" xfId="0" applyFont="1" applyFill="1"/>
    <xf numFmtId="3" fontId="7" fillId="0" borderId="0" xfId="0" applyNumberFormat="1" applyFont="1" applyFill="1"/>
    <xf numFmtId="3" fontId="7" fillId="0" borderId="0" xfId="0" applyNumberFormat="1" applyFont="1" applyFill="1" applyAlignment="1">
      <alignment horizontal="center"/>
    </xf>
    <xf numFmtId="0" fontId="0" fillId="5" borderId="0" xfId="0" applyFill="1"/>
    <xf numFmtId="0" fontId="0" fillId="6" borderId="0" xfId="0" applyFill="1"/>
    <xf numFmtId="0" fontId="0" fillId="7" borderId="0" xfId="0" applyFill="1"/>
    <xf numFmtId="0" fontId="7" fillId="0" borderId="0" xfId="0" applyFont="1" applyFill="1" applyAlignment="1">
      <alignment horizontal="center"/>
    </xf>
    <xf numFmtId="2" fontId="7" fillId="0" borderId="0" xfId="0" applyNumberFormat="1" applyFont="1" applyFill="1" applyAlignment="1">
      <alignment horizontal="center"/>
    </xf>
    <xf numFmtId="0" fontId="8" fillId="0" borderId="0" xfId="0" applyFont="1" applyFill="1"/>
    <xf numFmtId="2" fontId="2" fillId="0" borderId="0" xfId="0" applyNumberFormat="1" applyFont="1" applyFill="1" applyBorder="1"/>
    <xf numFmtId="2" fontId="2" fillId="0" borderId="0" xfId="0" applyNumberFormat="1" applyFont="1" applyBorder="1"/>
    <xf numFmtId="0" fontId="2" fillId="0" borderId="0" xfId="0" applyFont="1" applyFill="1" applyBorder="1"/>
    <xf numFmtId="2" fontId="2" fillId="0" borderId="0" xfId="0" applyNumberFormat="1" applyFont="1" applyFill="1" applyBorder="1" applyAlignment="1">
      <alignment horizontal="right"/>
    </xf>
    <xf numFmtId="2" fontId="0" fillId="7" borderId="0" xfId="0" applyNumberFormat="1" applyFill="1" applyBorder="1"/>
    <xf numFmtId="2" fontId="0" fillId="7" borderId="0" xfId="0" applyNumberFormat="1" applyFill="1" applyBorder="1" applyAlignment="1">
      <alignment horizontal="right"/>
    </xf>
    <xf numFmtId="2" fontId="2" fillId="7" borderId="0" xfId="0" applyNumberFormat="1" applyFont="1" applyFill="1" applyBorder="1"/>
    <xf numFmtId="2" fontId="0" fillId="6" borderId="0" xfId="0" applyNumberFormat="1" applyFill="1" applyBorder="1"/>
    <xf numFmtId="2" fontId="0" fillId="5" borderId="0" xfId="0" applyNumberFormat="1" applyFill="1" applyBorder="1"/>
    <xf numFmtId="0" fontId="2" fillId="0" borderId="0" xfId="0" applyFont="1" applyBorder="1"/>
    <xf numFmtId="0" fontId="2" fillId="8" borderId="0" xfId="0" applyFont="1" applyFill="1"/>
    <xf numFmtId="0" fontId="7" fillId="8" borderId="0" xfId="0" applyFont="1" applyFill="1"/>
    <xf numFmtId="2" fontId="2" fillId="6" borderId="0" xfId="0" applyNumberFormat="1" applyFont="1" applyFill="1" applyBorder="1"/>
    <xf numFmtId="2" fontId="2" fillId="5" borderId="0" xfId="0" applyNumberFormat="1" applyFont="1" applyFill="1" applyBorder="1"/>
    <xf numFmtId="3" fontId="0" fillId="0" borderId="0" xfId="0" applyNumberFormat="1"/>
    <xf numFmtId="3" fontId="0" fillId="0" borderId="0" xfId="0" applyNumberFormat="1" applyAlignment="1">
      <alignment horizontal="center"/>
    </xf>
    <xf numFmtId="3" fontId="2" fillId="0" borderId="0" xfId="0" applyNumberFormat="1" applyFont="1" applyFill="1"/>
    <xf numFmtId="3" fontId="2" fillId="0" borderId="0" xfId="0" applyNumberFormat="1" applyFont="1" applyFill="1" applyAlignment="1">
      <alignment horizontal="center"/>
    </xf>
    <xf numFmtId="3" fontId="2" fillId="0" borderId="0" xfId="0" applyNumberFormat="1" applyFont="1" applyFill="1" applyBorder="1" applyAlignment="1">
      <alignment horizontal="center"/>
    </xf>
    <xf numFmtId="3" fontId="2" fillId="8" borderId="0" xfId="0" applyNumberFormat="1" applyFont="1" applyFill="1" applyBorder="1" applyAlignment="1">
      <alignment horizontal="center"/>
    </xf>
    <xf numFmtId="3" fontId="4" fillId="0" borderId="0" xfId="0" applyNumberFormat="1" applyFont="1" applyFill="1" applyBorder="1" applyAlignment="1">
      <alignment horizontal="center"/>
    </xf>
    <xf numFmtId="3" fontId="4" fillId="8" borderId="0" xfId="0" applyNumberFormat="1" applyFont="1" applyFill="1" applyBorder="1" applyAlignment="1">
      <alignment horizontal="center"/>
    </xf>
    <xf numFmtId="3" fontId="4" fillId="0" borderId="0" xfId="0" applyNumberFormat="1" applyFont="1" applyBorder="1"/>
    <xf numFmtId="3" fontId="4" fillId="0" borderId="0" xfId="0" applyNumberFormat="1" applyFont="1" applyBorder="1" applyAlignment="1">
      <alignment horizontal="center"/>
    </xf>
    <xf numFmtId="3" fontId="4" fillId="0" borderId="0" xfId="0" applyNumberFormat="1" applyFont="1" applyFill="1" applyBorder="1"/>
    <xf numFmtId="3" fontId="4" fillId="8" borderId="0" xfId="0" applyNumberFormat="1" applyFont="1" applyFill="1" applyBorder="1"/>
    <xf numFmtId="3" fontId="0" fillId="0" borderId="0" xfId="0" applyNumberFormat="1" applyBorder="1"/>
    <xf numFmtId="3" fontId="0" fillId="0" borderId="0" xfId="0" applyNumberFormat="1" applyBorder="1" applyAlignment="1">
      <alignment horizontal="center"/>
    </xf>
    <xf numFmtId="3" fontId="2" fillId="0" borderId="4" xfId="0" applyNumberFormat="1" applyFont="1" applyFill="1" applyBorder="1"/>
    <xf numFmtId="3" fontId="2" fillId="0" borderId="4" xfId="0" applyNumberFormat="1" applyFont="1" applyFill="1" applyBorder="1" applyAlignment="1">
      <alignment horizontal="center"/>
    </xf>
    <xf numFmtId="3" fontId="2" fillId="8" borderId="4" xfId="0" applyNumberFormat="1" applyFont="1" applyFill="1" applyBorder="1"/>
    <xf numFmtId="3" fontId="0" fillId="0" borderId="0" xfId="0" applyNumberFormat="1" applyFill="1"/>
    <xf numFmtId="3" fontId="0" fillId="0" borderId="0" xfId="0" applyNumberFormat="1" applyFill="1" applyAlignment="1">
      <alignment horizontal="center"/>
    </xf>
    <xf numFmtId="3" fontId="2" fillId="0" borderId="4" xfId="0" applyNumberFormat="1" applyFont="1" applyBorder="1"/>
    <xf numFmtId="3" fontId="2" fillId="0" borderId="4" xfId="0" applyNumberFormat="1" applyFont="1" applyBorder="1" applyAlignment="1">
      <alignment horizontal="center"/>
    </xf>
    <xf numFmtId="3" fontId="2" fillId="0" borderId="0" xfId="0" applyNumberFormat="1" applyFont="1" applyBorder="1"/>
    <xf numFmtId="3" fontId="2" fillId="0" borderId="0" xfId="0" applyNumberFormat="1" applyFont="1" applyBorder="1" applyAlignment="1">
      <alignment horizontal="center"/>
    </xf>
    <xf numFmtId="3" fontId="2" fillId="8" borderId="0" xfId="0" applyNumberFormat="1" applyFont="1" applyFill="1" applyBorder="1"/>
    <xf numFmtId="3" fontId="0" fillId="8" borderId="0" xfId="0" applyNumberFormat="1" applyFill="1" applyBorder="1"/>
    <xf numFmtId="3" fontId="2" fillId="0" borderId="5" xfId="0" applyNumberFormat="1" applyFont="1" applyBorder="1"/>
    <xf numFmtId="3" fontId="2" fillId="8" borderId="5" xfId="0" applyNumberFormat="1" applyFont="1" applyFill="1" applyBorder="1"/>
    <xf numFmtId="3" fontId="4" fillId="0" borderId="0" xfId="0" applyNumberFormat="1" applyFont="1" applyFill="1"/>
    <xf numFmtId="0" fontId="10" fillId="0" borderId="0" xfId="0" applyFont="1"/>
    <xf numFmtId="3" fontId="7" fillId="0" borderId="0" xfId="0" applyNumberFormat="1" applyFont="1" applyFill="1" applyBorder="1" applyAlignment="1">
      <alignment horizontal="center"/>
    </xf>
    <xf numFmtId="3" fontId="7" fillId="0" borderId="0" xfId="0" applyNumberFormat="1" applyFont="1" applyFill="1" applyBorder="1"/>
    <xf numFmtId="3" fontId="7" fillId="0" borderId="0" xfId="0" applyNumberFormat="1" applyFont="1" applyFill="1" applyAlignment="1">
      <alignment horizontal="left"/>
    </xf>
    <xf numFmtId="0" fontId="0" fillId="0" borderId="0" xfId="0" applyNumberFormat="1"/>
    <xf numFmtId="3" fontId="2" fillId="0" borderId="0" xfId="0" applyNumberFormat="1" applyFont="1" applyAlignment="1">
      <alignment horizontal="left"/>
    </xf>
    <xf numFmtId="3" fontId="2" fillId="8" borderId="0" xfId="0" applyNumberFormat="1" applyFont="1" applyFill="1"/>
    <xf numFmtId="2" fontId="4" fillId="4" borderId="0" xfId="0" applyNumberFormat="1" applyFont="1" applyFill="1" applyBorder="1"/>
    <xf numFmtId="2" fontId="2" fillId="4" borderId="0" xfId="0" applyNumberFormat="1" applyFont="1" applyFill="1" applyBorder="1"/>
    <xf numFmtId="3" fontId="0" fillId="0" borderId="5" xfId="0" applyNumberFormat="1" applyBorder="1"/>
    <xf numFmtId="3" fontId="2" fillId="0" borderId="0" xfId="0" applyNumberFormat="1" applyFont="1"/>
    <xf numFmtId="3" fontId="2" fillId="9" borderId="0" xfId="0" applyNumberFormat="1" applyFont="1" applyFill="1"/>
    <xf numFmtId="3" fontId="2" fillId="0" borderId="0" xfId="0" applyNumberFormat="1" applyFont="1" applyFill="1" applyBorder="1"/>
    <xf numFmtId="2" fontId="8" fillId="0" borderId="0" xfId="0" applyNumberFormat="1" applyFont="1" applyAlignment="1">
      <alignment horizontal="left"/>
    </xf>
    <xf numFmtId="3" fontId="7" fillId="0" borderId="0" xfId="0" applyNumberFormat="1" applyFont="1" applyAlignment="1">
      <alignment horizontal="left"/>
    </xf>
    <xf numFmtId="0" fontId="7" fillId="0" borderId="0" xfId="0" applyFont="1" applyAlignment="1">
      <alignment horizontal="left"/>
    </xf>
    <xf numFmtId="4" fontId="7" fillId="0" borderId="0" xfId="0" applyNumberFormat="1" applyFont="1"/>
    <xf numFmtId="3" fontId="0" fillId="0" borderId="0" xfId="0" applyNumberFormat="1" applyFill="1" applyBorder="1"/>
    <xf numFmtId="3" fontId="8" fillId="0" borderId="0" xfId="0" applyNumberFormat="1" applyFont="1" applyFill="1" applyAlignment="1">
      <alignment horizontal="center"/>
    </xf>
    <xf numFmtId="0" fontId="11" fillId="0" borderId="0" xfId="0" applyFont="1" applyFill="1"/>
    <xf numFmtId="0" fontId="1" fillId="8" borderId="0" xfId="0" applyFont="1" applyFill="1"/>
    <xf numFmtId="3" fontId="4" fillId="0" borderId="0" xfId="0" applyNumberFormat="1" applyFont="1"/>
    <xf numFmtId="3" fontId="4" fillId="0" borderId="0" xfId="0" applyNumberFormat="1" applyFont="1" applyAlignment="1">
      <alignment horizontal="center"/>
    </xf>
    <xf numFmtId="4" fontId="7" fillId="0" borderId="0" xfId="0" applyNumberFormat="1" applyFont="1" applyFill="1"/>
    <xf numFmtId="0" fontId="4" fillId="0" borderId="0" xfId="0" applyFont="1" applyFill="1" applyBorder="1" applyAlignment="1">
      <alignment horizontal="center"/>
    </xf>
    <xf numFmtId="0" fontId="2" fillId="0" borderId="0" xfId="0" applyFont="1" applyFill="1" applyBorder="1" applyAlignment="1">
      <alignment horizontal="center"/>
    </xf>
    <xf numFmtId="0" fontId="12" fillId="0" borderId="0" xfId="0" applyFont="1" applyAlignment="1">
      <alignment horizontal="center"/>
    </xf>
    <xf numFmtId="3" fontId="7" fillId="4" borderId="0" xfId="0" applyNumberFormat="1" applyFont="1" applyFill="1" applyAlignment="1">
      <alignment horizontal="center"/>
    </xf>
    <xf numFmtId="0" fontId="7" fillId="8" borderId="0" xfId="0" applyFont="1" applyFill="1" applyAlignment="1">
      <alignment horizontal="center"/>
    </xf>
    <xf numFmtId="2" fontId="8" fillId="0" borderId="0" xfId="0" applyNumberFormat="1" applyFont="1" applyFill="1" applyAlignment="1">
      <alignment horizontal="center"/>
    </xf>
    <xf numFmtId="3" fontId="7" fillId="0" borderId="4" xfId="0" applyNumberFormat="1" applyFont="1" applyFill="1" applyBorder="1"/>
    <xf numFmtId="2" fontId="0" fillId="0" borderId="0" xfId="0" applyNumberFormat="1" applyFill="1" applyBorder="1"/>
    <xf numFmtId="2" fontId="2" fillId="0" borderId="0" xfId="0" applyNumberFormat="1" applyFont="1" applyFill="1" applyBorder="1" applyAlignment="1">
      <alignment horizontal="center"/>
    </xf>
    <xf numFmtId="2" fontId="4" fillId="0" borderId="0" xfId="0" applyNumberFormat="1" applyFont="1" applyFill="1" applyBorder="1" applyAlignment="1">
      <alignment horizontal="center"/>
    </xf>
    <xf numFmtId="4" fontId="4" fillId="0" borderId="0" xfId="0" applyNumberFormat="1" applyFont="1" applyFill="1" applyBorder="1"/>
    <xf numFmtId="0" fontId="7" fillId="0" borderId="0" xfId="0" applyFont="1" applyFill="1" applyBorder="1"/>
    <xf numFmtId="3" fontId="7" fillId="0" borderId="0" xfId="0" applyNumberFormat="1" applyFont="1" applyFill="1" applyBorder="1" applyAlignment="1">
      <alignment horizontal="left"/>
    </xf>
    <xf numFmtId="2" fontId="2" fillId="8" borderId="0" xfId="0" applyNumberFormat="1" applyFont="1" applyFill="1"/>
    <xf numFmtId="167" fontId="2" fillId="8" borderId="0" xfId="0" applyNumberFormat="1" applyFont="1" applyFill="1"/>
    <xf numFmtId="0" fontId="15" fillId="0" borderId="0" xfId="0" applyFont="1"/>
    <xf numFmtId="0" fontId="15" fillId="0" borderId="0" xfId="0" applyFont="1" applyFill="1"/>
    <xf numFmtId="4" fontId="15" fillId="0" borderId="0" xfId="0" applyNumberFormat="1" applyFont="1" applyFill="1"/>
    <xf numFmtId="0" fontId="1" fillId="0" borderId="0" xfId="0" applyFont="1" applyFill="1"/>
    <xf numFmtId="0" fontId="15" fillId="0" borderId="0" xfId="0" applyFont="1" applyAlignment="1">
      <alignment horizontal="center"/>
    </xf>
    <xf numFmtId="3" fontId="15" fillId="0" borderId="0" xfId="0" applyNumberFormat="1" applyFont="1"/>
    <xf numFmtId="3" fontId="15" fillId="4" borderId="0" xfId="0" applyNumberFormat="1" applyFont="1" applyFill="1" applyAlignment="1">
      <alignment horizontal="center"/>
    </xf>
    <xf numFmtId="0" fontId="8" fillId="8" borderId="0" xfId="0" applyFont="1" applyFill="1"/>
    <xf numFmtId="4" fontId="8" fillId="0" borderId="0" xfId="0" applyNumberFormat="1" applyFont="1"/>
    <xf numFmtId="3" fontId="8" fillId="0" borderId="0" xfId="0" applyNumberFormat="1" applyFont="1" applyAlignment="1">
      <alignment horizontal="center"/>
    </xf>
    <xf numFmtId="3" fontId="8" fillId="4" borderId="0" xfId="0" applyNumberFormat="1" applyFont="1" applyFill="1" applyAlignment="1">
      <alignment horizontal="center"/>
    </xf>
    <xf numFmtId="4" fontId="8" fillId="0" borderId="0" xfId="0" applyNumberFormat="1" applyFont="1" applyFill="1"/>
    <xf numFmtId="3" fontId="9" fillId="0" borderId="0" xfId="0" applyNumberFormat="1" applyFont="1" applyAlignment="1">
      <alignment horizontal="left"/>
    </xf>
    <xf numFmtId="0" fontId="18" fillId="0" borderId="0" xfId="0" applyFont="1"/>
    <xf numFmtId="3" fontId="2" fillId="40" borderId="0" xfId="0" applyNumberFormat="1" applyFont="1" applyFill="1"/>
    <xf numFmtId="3" fontId="2" fillId="40" borderId="0" xfId="0" applyNumberFormat="1" applyFont="1" applyFill="1" applyBorder="1" applyAlignment="1">
      <alignment horizontal="center"/>
    </xf>
    <xf numFmtId="3" fontId="4" fillId="40" borderId="0" xfId="0" applyNumberFormat="1" applyFont="1" applyFill="1" applyBorder="1" applyAlignment="1">
      <alignment horizontal="center"/>
    </xf>
    <xf numFmtId="3" fontId="4" fillId="40" borderId="0" xfId="0" applyNumberFormat="1" applyFont="1" applyFill="1" applyBorder="1"/>
    <xf numFmtId="3" fontId="2" fillId="40" borderId="4" xfId="0" applyNumberFormat="1" applyFont="1" applyFill="1" applyBorder="1"/>
    <xf numFmtId="3" fontId="0" fillId="40" borderId="0" xfId="0" applyNumberFormat="1" applyFill="1"/>
    <xf numFmtId="3" fontId="2" fillId="40" borderId="0" xfId="0" applyNumberFormat="1" applyFont="1" applyFill="1" applyBorder="1"/>
    <xf numFmtId="3" fontId="0" fillId="40" borderId="0" xfId="0" applyNumberFormat="1" applyFill="1" applyBorder="1"/>
    <xf numFmtId="3" fontId="2" fillId="40" borderId="5" xfId="0" applyNumberFormat="1" applyFont="1" applyFill="1" applyBorder="1"/>
    <xf numFmtId="3" fontId="0" fillId="0" borderId="0" xfId="0" applyNumberFormat="1" applyFill="1" applyAlignment="1">
      <alignment horizontal="right"/>
    </xf>
    <xf numFmtId="0" fontId="0" fillId="0" borderId="0" xfId="0" applyFill="1" applyAlignment="1">
      <alignment horizontal="right"/>
    </xf>
    <xf numFmtId="3" fontId="15" fillId="0" borderId="0" xfId="0" applyNumberFormat="1" applyFont="1" applyFill="1"/>
    <xf numFmtId="0" fontId="7" fillId="0" borderId="0" xfId="0" applyFont="1" applyAlignment="1">
      <alignment horizontal="center" wrapText="1"/>
    </xf>
    <xf numFmtId="0" fontId="8" fillId="0" borderId="0" xfId="0" applyFont="1" applyFill="1" applyBorder="1"/>
    <xf numFmtId="0" fontId="7" fillId="41" borderId="0" xfId="0" applyFont="1" applyFill="1"/>
    <xf numFmtId="3" fontId="7" fillId="41" borderId="0" xfId="0" applyNumberFormat="1" applyFont="1" applyFill="1"/>
    <xf numFmtId="3" fontId="7" fillId="41" borderId="4" xfId="0" applyNumberFormat="1" applyFont="1" applyFill="1" applyBorder="1"/>
    <xf numFmtId="0" fontId="15" fillId="0" borderId="0" xfId="0" applyFont="1" applyAlignment="1">
      <alignment horizontal="center" wrapText="1"/>
    </xf>
    <xf numFmtId="3" fontId="15" fillId="41" borderId="0" xfId="0" applyNumberFormat="1" applyFont="1" applyFill="1"/>
    <xf numFmtId="0" fontId="8" fillId="42" borderId="0" xfId="0" applyFont="1" applyFill="1"/>
    <xf numFmtId="4" fontId="0" fillId="0" borderId="0" xfId="0" applyNumberFormat="1"/>
    <xf numFmtId="3" fontId="15" fillId="0" borderId="0" xfId="0" applyNumberFormat="1" applyFont="1" applyAlignment="1">
      <alignment horizontal="center"/>
    </xf>
    <xf numFmtId="0" fontId="35" fillId="43" borderId="8" xfId="0" applyFont="1" applyFill="1" applyBorder="1"/>
    <xf numFmtId="0" fontId="35" fillId="43" borderId="9" xfId="0" applyFont="1" applyFill="1" applyBorder="1" applyAlignment="1">
      <alignment horizontal="center"/>
    </xf>
    <xf numFmtId="0" fontId="35" fillId="43" borderId="7" xfId="0" applyFont="1" applyFill="1" applyBorder="1" applyAlignment="1">
      <alignment horizontal="center"/>
    </xf>
    <xf numFmtId="0" fontId="35" fillId="43" borderId="10" xfId="0" applyFont="1" applyFill="1" applyBorder="1" applyAlignment="1">
      <alignment horizontal="center"/>
    </xf>
    <xf numFmtId="166" fontId="20" fillId="44" borderId="11" xfId="53" applyNumberFormat="1" applyFont="1" applyFill="1" applyBorder="1"/>
    <xf numFmtId="166" fontId="20" fillId="44" borderId="0" xfId="53" applyNumberFormat="1" applyFont="1" applyFill="1" applyBorder="1"/>
    <xf numFmtId="166" fontId="20" fillId="44" borderId="12" xfId="53" applyNumberFormat="1" applyFont="1" applyFill="1" applyBorder="1"/>
    <xf numFmtId="166" fontId="20" fillId="44" borderId="0" xfId="53" applyNumberFormat="1" applyFont="1" applyFill="1" applyBorder="1" applyAlignment="1">
      <alignment horizontal="center"/>
    </xf>
    <xf numFmtId="166" fontId="20" fillId="44" borderId="13" xfId="53" applyNumberFormat="1" applyFont="1" applyFill="1" applyBorder="1"/>
    <xf numFmtId="166" fontId="20" fillId="42" borderId="14" xfId="53" applyNumberFormat="1" applyFont="1" applyFill="1" applyBorder="1"/>
    <xf numFmtId="166" fontId="20" fillId="42" borderId="4" xfId="53" applyNumberFormat="1" applyFont="1" applyFill="1" applyBorder="1"/>
    <xf numFmtId="166" fontId="20" fillId="42" borderId="15" xfId="53" applyNumberFormat="1" applyFont="1" applyFill="1" applyBorder="1"/>
    <xf numFmtId="166" fontId="36" fillId="42" borderId="4" xfId="53" applyNumberFormat="1" applyFont="1" applyFill="1" applyBorder="1" applyAlignment="1">
      <alignment horizontal="center"/>
    </xf>
    <xf numFmtId="166" fontId="33" fillId="42" borderId="14" xfId="53" applyNumberFormat="1" applyFont="1" applyFill="1" applyBorder="1"/>
    <xf numFmtId="166" fontId="33" fillId="42" borderId="4" xfId="53" applyNumberFormat="1" applyFont="1" applyFill="1" applyBorder="1"/>
    <xf numFmtId="166" fontId="33" fillId="42" borderId="15" xfId="53" applyNumberFormat="1" applyFont="1" applyFill="1" applyBorder="1"/>
    <xf numFmtId="166" fontId="33" fillId="42" borderId="4" xfId="53" applyNumberFormat="1" applyFont="1" applyFill="1" applyBorder="1" applyAlignment="1">
      <alignment horizontal="center"/>
    </xf>
    <xf numFmtId="166" fontId="36" fillId="44" borderId="0" xfId="53" applyNumberFormat="1" applyFont="1" applyFill="1" applyBorder="1" applyAlignment="1">
      <alignment horizontal="center"/>
    </xf>
    <xf numFmtId="9" fontId="20" fillId="44" borderId="13" xfId="44" applyFont="1" applyFill="1" applyBorder="1"/>
    <xf numFmtId="9" fontId="20" fillId="44" borderId="0" xfId="44" applyFont="1" applyFill="1" applyBorder="1"/>
    <xf numFmtId="9" fontId="20" fillId="44" borderId="16" xfId="44" applyFont="1" applyFill="1" applyBorder="1"/>
    <xf numFmtId="166" fontId="20" fillId="44" borderId="3" xfId="53" applyNumberFormat="1" applyFont="1" applyFill="1" applyBorder="1" applyAlignment="1">
      <alignment horizontal="center"/>
    </xf>
    <xf numFmtId="9" fontId="20" fillId="44" borderId="12" xfId="44" applyFont="1" applyFill="1" applyBorder="1"/>
    <xf numFmtId="168" fontId="33" fillId="44" borderId="13" xfId="44" applyNumberFormat="1" applyFont="1" applyFill="1" applyBorder="1"/>
    <xf numFmtId="168" fontId="33" fillId="44" borderId="0" xfId="44" applyNumberFormat="1" applyFont="1" applyFill="1" applyBorder="1"/>
    <xf numFmtId="168" fontId="33" fillId="44" borderId="12" xfId="44" applyNumberFormat="1" applyFont="1" applyFill="1" applyBorder="1"/>
    <xf numFmtId="166" fontId="33" fillId="44" borderId="2" xfId="53" applyNumberFormat="1" applyFont="1" applyFill="1" applyBorder="1" applyAlignment="1">
      <alignment horizontal="center"/>
    </xf>
    <xf numFmtId="168" fontId="33" fillId="44" borderId="9" xfId="44" applyNumberFormat="1" applyFont="1" applyFill="1" applyBorder="1"/>
    <xf numFmtId="168" fontId="33" fillId="44" borderId="7" xfId="44" applyNumberFormat="1" applyFont="1" applyFill="1" applyBorder="1"/>
    <xf numFmtId="168" fontId="33" fillId="44" borderId="10" xfId="44" applyNumberFormat="1" applyFont="1" applyFill="1" applyBorder="1"/>
    <xf numFmtId="166" fontId="33" fillId="44" borderId="17" xfId="53" applyNumberFormat="1" applyFont="1" applyFill="1" applyBorder="1" applyAlignment="1">
      <alignment horizontal="center"/>
    </xf>
    <xf numFmtId="0" fontId="35" fillId="43" borderId="8" xfId="0" applyFont="1" applyFill="1" applyBorder="1" applyAlignment="1">
      <alignment horizontal="center"/>
    </xf>
    <xf numFmtId="166" fontId="0" fillId="0" borderId="0" xfId="0" applyNumberFormat="1"/>
    <xf numFmtId="0" fontId="14" fillId="0" borderId="0" xfId="0" applyFont="1"/>
    <xf numFmtId="3" fontId="7" fillId="45" borderId="0" xfId="0" applyNumberFormat="1" applyFont="1" applyFill="1" applyAlignment="1">
      <alignment horizontal="center"/>
    </xf>
    <xf numFmtId="0" fontId="4" fillId="10" borderId="6" xfId="0" applyFont="1" applyFill="1" applyBorder="1" applyProtection="1"/>
    <xf numFmtId="3" fontId="7" fillId="46" borderId="0" xfId="0" applyNumberFormat="1" applyFont="1" applyFill="1" applyAlignment="1">
      <alignment horizontal="center"/>
    </xf>
    <xf numFmtId="0" fontId="7" fillId="0" borderId="5" xfId="0" applyFont="1" applyBorder="1"/>
    <xf numFmtId="3" fontId="7" fillId="0" borderId="5" xfId="0" applyNumberFormat="1" applyFont="1" applyBorder="1"/>
    <xf numFmtId="0" fontId="0" fillId="41" borderId="0" xfId="0" applyFill="1"/>
    <xf numFmtId="3" fontId="0" fillId="41" borderId="0" xfId="0" applyNumberFormat="1" applyFill="1"/>
    <xf numFmtId="3" fontId="7" fillId="41" borderId="5" xfId="0" applyNumberFormat="1" applyFont="1" applyFill="1" applyBorder="1"/>
    <xf numFmtId="3" fontId="8" fillId="0" borderId="0" xfId="0" applyNumberFormat="1" applyFont="1"/>
    <xf numFmtId="0" fontId="2" fillId="41" borderId="0" xfId="0" applyFont="1" applyFill="1"/>
    <xf numFmtId="3" fontId="0" fillId="41" borderId="5" xfId="0" applyNumberFormat="1" applyFill="1" applyBorder="1"/>
    <xf numFmtId="0" fontId="35" fillId="43" borderId="8" xfId="0" applyFont="1" applyFill="1" applyBorder="1" applyAlignment="1">
      <alignment horizontal="center"/>
    </xf>
    <xf numFmtId="3" fontId="7" fillId="40" borderId="0" xfId="0" applyNumberFormat="1" applyFont="1" applyFill="1" applyAlignment="1">
      <alignment horizontal="center"/>
    </xf>
    <xf numFmtId="3" fontId="7" fillId="47" borderId="0" xfId="0" applyNumberFormat="1" applyFont="1" applyFill="1" applyAlignment="1">
      <alignment horizontal="center"/>
    </xf>
    <xf numFmtId="3" fontId="7" fillId="48" borderId="0" xfId="0" applyNumberFormat="1" applyFont="1" applyFill="1" applyAlignment="1">
      <alignment horizontal="center"/>
    </xf>
    <xf numFmtId="3" fontId="7" fillId="49" borderId="0" xfId="0" applyNumberFormat="1" applyFont="1" applyFill="1" applyAlignment="1">
      <alignment horizontal="center"/>
    </xf>
    <xf numFmtId="3" fontId="7" fillId="50" borderId="0" xfId="0" applyNumberFormat="1" applyFont="1" applyFill="1" applyAlignment="1">
      <alignment horizontal="center"/>
    </xf>
    <xf numFmtId="0" fontId="8" fillId="50" borderId="0" xfId="0" applyFont="1" applyFill="1" applyAlignment="1">
      <alignment horizontal="center"/>
    </xf>
    <xf numFmtId="3" fontId="37" fillId="41" borderId="0" xfId="0" applyNumberFormat="1" applyFont="1" applyFill="1"/>
    <xf numFmtId="3" fontId="7" fillId="51" borderId="0" xfId="0" applyNumberFormat="1" applyFont="1" applyFill="1" applyAlignment="1">
      <alignment horizontal="center"/>
    </xf>
    <xf numFmtId="3" fontId="7" fillId="40" borderId="0" xfId="0" applyNumberFormat="1" applyFont="1" applyFill="1"/>
    <xf numFmtId="0" fontId="7" fillId="52" borderId="0" xfId="0" applyFont="1" applyFill="1"/>
    <xf numFmtId="3" fontId="7" fillId="52" borderId="0" xfId="0" applyNumberFormat="1" applyFont="1" applyFill="1" applyAlignment="1">
      <alignment horizontal="center"/>
    </xf>
    <xf numFmtId="0" fontId="7" fillId="53" borderId="0" xfId="0" applyFont="1" applyFill="1"/>
    <xf numFmtId="3" fontId="7" fillId="53" borderId="0" xfId="0" applyNumberFormat="1" applyFont="1" applyFill="1" applyAlignment="1">
      <alignment horizontal="center"/>
    </xf>
    <xf numFmtId="0" fontId="7" fillId="54" borderId="0" xfId="0" applyFont="1" applyFill="1"/>
    <xf numFmtId="3" fontId="7" fillId="54" borderId="0" xfId="0" applyNumberFormat="1" applyFont="1" applyFill="1" applyAlignment="1">
      <alignment horizontal="center"/>
    </xf>
    <xf numFmtId="0" fontId="7" fillId="55" borderId="0" xfId="0" applyFont="1" applyFill="1"/>
    <xf numFmtId="3" fontId="7" fillId="55" borderId="0" xfId="0" applyNumberFormat="1" applyFont="1" applyFill="1" applyAlignment="1">
      <alignment horizontal="center"/>
    </xf>
    <xf numFmtId="0" fontId="7" fillId="40" borderId="0" xfId="0" applyFont="1" applyFill="1"/>
    <xf numFmtId="0" fontId="7" fillId="56" borderId="0" xfId="0" applyFont="1" applyFill="1"/>
    <xf numFmtId="3" fontId="7" fillId="56" borderId="0" xfId="0" applyNumberFormat="1" applyFont="1" applyFill="1" applyAlignment="1">
      <alignment horizontal="center"/>
    </xf>
    <xf numFmtId="0" fontId="7" fillId="57" borderId="0" xfId="0" applyFont="1" applyFill="1"/>
    <xf numFmtId="3" fontId="7" fillId="57" borderId="0" xfId="0" applyNumberFormat="1" applyFont="1" applyFill="1" applyAlignment="1">
      <alignment horizontal="center"/>
    </xf>
    <xf numFmtId="3" fontId="7" fillId="58" borderId="0" xfId="0" applyNumberFormat="1" applyFont="1" applyFill="1" applyAlignment="1">
      <alignment horizontal="center"/>
    </xf>
    <xf numFmtId="3" fontId="7" fillId="59" borderId="0" xfId="0" applyNumberFormat="1" applyFont="1" applyFill="1" applyAlignment="1">
      <alignment horizontal="center"/>
    </xf>
    <xf numFmtId="0" fontId="7" fillId="59" borderId="0" xfId="0" applyFont="1" applyFill="1"/>
    <xf numFmtId="3" fontId="7" fillId="60" borderId="0" xfId="0" applyNumberFormat="1" applyFont="1" applyFill="1" applyAlignment="1">
      <alignment horizontal="center"/>
    </xf>
    <xf numFmtId="0" fontId="7" fillId="60" borderId="0" xfId="0" applyFont="1" applyFill="1"/>
    <xf numFmtId="3" fontId="7" fillId="61" borderId="0" xfId="0" applyNumberFormat="1" applyFont="1" applyFill="1" applyAlignment="1">
      <alignment horizontal="center"/>
    </xf>
    <xf numFmtId="0" fontId="7" fillId="61" borderId="0" xfId="0" applyFont="1" applyFill="1"/>
    <xf numFmtId="0" fontId="7" fillId="58" borderId="0" xfId="0" applyFont="1" applyFill="1"/>
    <xf numFmtId="0" fontId="7" fillId="49" borderId="0" xfId="0" applyFont="1" applyFill="1"/>
    <xf numFmtId="4" fontId="7" fillId="40" borderId="0" xfId="0" applyNumberFormat="1" applyFont="1" applyFill="1"/>
    <xf numFmtId="0" fontId="4" fillId="40" borderId="0" xfId="0" applyFont="1" applyFill="1"/>
    <xf numFmtId="0" fontId="7" fillId="40" borderId="13" xfId="0" applyFont="1" applyFill="1" applyBorder="1"/>
    <xf numFmtId="3" fontId="7" fillId="40" borderId="18" xfId="0" applyNumberFormat="1" applyFont="1" applyFill="1" applyBorder="1"/>
    <xf numFmtId="0" fontId="8" fillId="40" borderId="0" xfId="0" applyFont="1" applyFill="1"/>
    <xf numFmtId="3" fontId="7" fillId="0" borderId="0" xfId="0" applyNumberFormat="1" applyFont="1" applyBorder="1"/>
    <xf numFmtId="3" fontId="7" fillId="0" borderId="5" xfId="0" applyNumberFormat="1" applyFont="1" applyFill="1" applyBorder="1"/>
    <xf numFmtId="3" fontId="38" fillId="41" borderId="0" xfId="0" applyNumberFormat="1" applyFont="1" applyFill="1"/>
    <xf numFmtId="3" fontId="7" fillId="0" borderId="18" xfId="0" applyNumberFormat="1" applyFont="1" applyFill="1" applyBorder="1"/>
    <xf numFmtId="0" fontId="7" fillId="62" borderId="0" xfId="0" applyFont="1" applyFill="1"/>
    <xf numFmtId="3" fontId="8" fillId="62" borderId="0" xfId="0" applyNumberFormat="1" applyFont="1" applyFill="1"/>
    <xf numFmtId="3" fontId="7" fillId="62" borderId="0" xfId="0" applyNumberFormat="1" applyFont="1" applyFill="1"/>
    <xf numFmtId="3" fontId="7" fillId="62" borderId="5" xfId="0" applyNumberFormat="1" applyFont="1" applyFill="1" applyBorder="1"/>
    <xf numFmtId="0" fontId="7" fillId="63" borderId="0" xfId="0" applyFont="1" applyFill="1"/>
    <xf numFmtId="3" fontId="7" fillId="63" borderId="0" xfId="0" applyNumberFormat="1" applyFont="1" applyFill="1"/>
    <xf numFmtId="0" fontId="8" fillId="62" borderId="0" xfId="0" applyFont="1" applyFill="1"/>
    <xf numFmtId="0" fontId="8" fillId="63" borderId="0" xfId="0" applyFont="1" applyFill="1"/>
    <xf numFmtId="0" fontId="2" fillId="41" borderId="0" xfId="0" applyFont="1" applyFill="1" applyAlignment="1">
      <alignment horizontal="center"/>
    </xf>
    <xf numFmtId="0" fontId="7" fillId="0" borderId="13" xfId="0" applyFont="1" applyBorder="1"/>
    <xf numFmtId="4" fontId="7" fillId="0" borderId="9" xfId="0" applyNumberFormat="1" applyFont="1" applyBorder="1"/>
    <xf numFmtId="3" fontId="0" fillId="0" borderId="18" xfId="0" applyNumberFormat="1" applyBorder="1"/>
    <xf numFmtId="3" fontId="7" fillId="0" borderId="18" xfId="0" applyNumberFormat="1" applyFont="1" applyBorder="1"/>
    <xf numFmtId="4" fontId="2" fillId="0" borderId="0" xfId="0" applyNumberFormat="1" applyFont="1"/>
    <xf numFmtId="4" fontId="7" fillId="0" borderId="0" xfId="0" applyNumberFormat="1" applyFont="1" applyAlignment="1">
      <alignment horizontal="center"/>
    </xf>
    <xf numFmtId="0" fontId="8" fillId="0" borderId="18" xfId="0" applyFont="1" applyFill="1" applyBorder="1"/>
    <xf numFmtId="0" fontId="39" fillId="0" borderId="0" xfId="40" quotePrefix="1" applyFont="1" applyAlignment="1">
      <alignment horizontal="left"/>
    </xf>
    <xf numFmtId="3" fontId="40" fillId="0" borderId="0" xfId="40" applyNumberFormat="1" applyFont="1"/>
    <xf numFmtId="3" fontId="40" fillId="0" borderId="0" xfId="40" applyNumberFormat="1" applyFont="1" applyBorder="1"/>
    <xf numFmtId="1" fontId="0" fillId="0" borderId="0" xfId="0" applyNumberFormat="1"/>
    <xf numFmtId="1" fontId="39" fillId="0" borderId="0" xfId="40" quotePrefix="1" applyNumberFormat="1" applyFont="1" applyBorder="1" applyAlignment="1">
      <alignment horizontal="left"/>
    </xf>
    <xf numFmtId="1" fontId="39" fillId="0" borderId="0" xfId="40" quotePrefix="1" applyNumberFormat="1" applyFont="1" applyAlignment="1">
      <alignment horizontal="left"/>
    </xf>
    <xf numFmtId="169" fontId="0" fillId="0" borderId="0" xfId="53" applyNumberFormat="1" applyFont="1"/>
    <xf numFmtId="0" fontId="0" fillId="0" borderId="11" xfId="0" applyBorder="1"/>
    <xf numFmtId="0" fontId="1" fillId="0" borderId="8" xfId="0" applyFont="1" applyBorder="1" applyAlignment="1">
      <alignment horizontal="center" wrapText="1"/>
    </xf>
    <xf numFmtId="0" fontId="0" fillId="0" borderId="13" xfId="0" applyBorder="1"/>
    <xf numFmtId="0" fontId="1" fillId="0" borderId="13" xfId="0" applyFont="1" applyBorder="1"/>
    <xf numFmtId="169" fontId="0" fillId="0" borderId="0" xfId="53" applyNumberFormat="1" applyFont="1" applyBorder="1"/>
    <xf numFmtId="168" fontId="0" fillId="0" borderId="0" xfId="44" applyNumberFormat="1" applyFont="1" applyBorder="1"/>
    <xf numFmtId="0" fontId="0" fillId="0" borderId="2" xfId="0" applyBorder="1"/>
    <xf numFmtId="168" fontId="0" fillId="0" borderId="17" xfId="44" applyNumberFormat="1" applyFont="1" applyBorder="1"/>
    <xf numFmtId="0" fontId="1" fillId="0" borderId="3" xfId="0" applyFont="1" applyBorder="1" applyAlignment="1">
      <alignment horizontal="center"/>
    </xf>
    <xf numFmtId="0" fontId="1" fillId="0" borderId="0" xfId="0" applyFont="1" applyFill="1" applyBorder="1"/>
    <xf numFmtId="0" fontId="1" fillId="0" borderId="0" xfId="0" applyFont="1" applyFill="1" applyBorder="1" applyAlignment="1">
      <alignment horizontal="center"/>
    </xf>
    <xf numFmtId="3" fontId="1" fillId="0" borderId="0" xfId="0" applyNumberFormat="1" applyFont="1" applyFill="1" applyBorder="1"/>
    <xf numFmtId="3" fontId="1" fillId="0" borderId="0" xfId="0" applyNumberFormat="1" applyFont="1" applyFill="1" applyBorder="1" applyAlignment="1">
      <alignment horizontal="center"/>
    </xf>
    <xf numFmtId="4" fontId="1" fillId="0" borderId="0" xfId="0" applyNumberFormat="1" applyFont="1" applyFill="1" applyBorder="1"/>
    <xf numFmtId="0" fontId="7" fillId="0" borderId="0" xfId="0" applyFont="1" applyFill="1" applyBorder="1" applyAlignment="1">
      <alignment horizontal="center"/>
    </xf>
    <xf numFmtId="0" fontId="0" fillId="0" borderId="0" xfId="0" applyAlignment="1">
      <alignment horizontal="center"/>
    </xf>
    <xf numFmtId="168" fontId="0" fillId="0" borderId="0" xfId="44" applyNumberFormat="1" applyFont="1"/>
    <xf numFmtId="0" fontId="1" fillId="0" borderId="0" xfId="0" applyFont="1"/>
    <xf numFmtId="0" fontId="1" fillId="0" borderId="13" xfId="0" applyFont="1" applyFill="1" applyBorder="1"/>
    <xf numFmtId="169" fontId="0" fillId="40" borderId="0" xfId="53" applyNumberFormat="1" applyFont="1" applyFill="1" applyBorder="1"/>
    <xf numFmtId="3" fontId="1" fillId="0" borderId="0" xfId="0" applyNumberFormat="1" applyFont="1"/>
    <xf numFmtId="169" fontId="0" fillId="0" borderId="0" xfId="0" applyNumberFormat="1"/>
    <xf numFmtId="0" fontId="0" fillId="0" borderId="14" xfId="0" applyBorder="1"/>
    <xf numFmtId="169" fontId="0" fillId="0" borderId="4" xfId="53" applyNumberFormat="1" applyFont="1" applyBorder="1"/>
    <xf numFmtId="3" fontId="1" fillId="0" borderId="0" xfId="0" applyNumberFormat="1" applyFont="1" applyAlignment="1">
      <alignment wrapText="1"/>
    </xf>
    <xf numFmtId="0" fontId="1" fillId="64" borderId="9" xfId="0" applyFont="1" applyFill="1" applyBorder="1" applyAlignment="1">
      <alignment horizontal="center" wrapText="1"/>
    </xf>
    <xf numFmtId="0" fontId="1" fillId="64" borderId="7" xfId="0" applyFont="1" applyFill="1" applyBorder="1" applyAlignment="1">
      <alignment horizontal="center" wrapText="1"/>
    </xf>
    <xf numFmtId="0" fontId="0" fillId="64" borderId="13" xfId="0" applyFill="1" applyBorder="1"/>
    <xf numFmtId="0" fontId="0" fillId="64" borderId="0" xfId="0" applyFill="1" applyBorder="1"/>
    <xf numFmtId="169" fontId="0" fillId="64" borderId="13" xfId="53" applyNumberFormat="1" applyFont="1" applyFill="1" applyBorder="1"/>
    <xf numFmtId="169" fontId="0" fillId="64" borderId="0" xfId="53" applyNumberFormat="1" applyFont="1" applyFill="1" applyBorder="1"/>
    <xf numFmtId="169" fontId="0" fillId="64" borderId="14" xfId="53" applyNumberFormat="1" applyFont="1" applyFill="1" applyBorder="1"/>
    <xf numFmtId="169" fontId="0" fillId="64" borderId="4" xfId="53" applyNumberFormat="1" applyFont="1" applyFill="1" applyBorder="1"/>
    <xf numFmtId="0" fontId="1" fillId="42" borderId="7" xfId="0" applyFont="1" applyFill="1" applyBorder="1" applyAlignment="1">
      <alignment horizontal="center" wrapText="1"/>
    </xf>
    <xf numFmtId="169" fontId="0" fillId="42" borderId="0" xfId="53" applyNumberFormat="1" applyFont="1" applyFill="1" applyBorder="1"/>
    <xf numFmtId="169" fontId="0" fillId="42" borderId="4" xfId="53" applyNumberFormat="1" applyFont="1" applyFill="1" applyBorder="1"/>
    <xf numFmtId="0" fontId="1" fillId="41" borderId="3" xfId="0" applyFont="1" applyFill="1" applyBorder="1"/>
    <xf numFmtId="0" fontId="1" fillId="41" borderId="17" xfId="0" applyFont="1" applyFill="1" applyBorder="1" applyAlignment="1">
      <alignment horizontal="center" wrapText="1"/>
    </xf>
    <xf numFmtId="0" fontId="0" fillId="41" borderId="2" xfId="0" applyFill="1" applyBorder="1"/>
    <xf numFmtId="169" fontId="0" fillId="41" borderId="2" xfId="53" applyNumberFormat="1" applyFont="1" applyFill="1" applyBorder="1"/>
    <xf numFmtId="169" fontId="0" fillId="41" borderId="1" xfId="53" applyNumberFormat="1" applyFont="1" applyFill="1" applyBorder="1"/>
    <xf numFmtId="0" fontId="1" fillId="42" borderId="10" xfId="0" applyFont="1" applyFill="1" applyBorder="1" applyAlignment="1">
      <alignment horizontal="center" wrapText="1"/>
    </xf>
    <xf numFmtId="0" fontId="0" fillId="42" borderId="0" xfId="0" applyFill="1" applyBorder="1"/>
    <xf numFmtId="0" fontId="0" fillId="42" borderId="12" xfId="0" applyFill="1" applyBorder="1"/>
    <xf numFmtId="169" fontId="0" fillId="42" borderId="12" xfId="53" applyNumberFormat="1" applyFont="1" applyFill="1" applyBorder="1"/>
    <xf numFmtId="169" fontId="0" fillId="42" borderId="15" xfId="53" applyNumberFormat="1" applyFont="1" applyFill="1" applyBorder="1"/>
    <xf numFmtId="0" fontId="1" fillId="64" borderId="14" xfId="0" applyFont="1" applyFill="1" applyBorder="1" applyAlignment="1">
      <alignment horizontal="centerContinuous"/>
    </xf>
    <xf numFmtId="0" fontId="0" fillId="64" borderId="4" xfId="0" applyFill="1" applyBorder="1" applyAlignment="1">
      <alignment horizontal="centerContinuous"/>
    </xf>
    <xf numFmtId="0" fontId="0" fillId="64" borderId="15" xfId="0" applyFill="1" applyBorder="1" applyAlignment="1">
      <alignment horizontal="centerContinuous"/>
    </xf>
    <xf numFmtId="0" fontId="42" fillId="0" borderId="0" xfId="0" applyFont="1"/>
    <xf numFmtId="10" fontId="0" fillId="0" borderId="0" xfId="44" applyNumberFormat="1" applyFont="1"/>
    <xf numFmtId="0" fontId="43" fillId="64" borderId="0" xfId="0" applyFont="1" applyFill="1"/>
    <xf numFmtId="169" fontId="43" fillId="64" borderId="0" xfId="53" applyNumberFormat="1" applyFont="1" applyFill="1"/>
    <xf numFmtId="17" fontId="43" fillId="64" borderId="0" xfId="0" applyNumberFormat="1" applyFont="1" applyFill="1"/>
    <xf numFmtId="3" fontId="45" fillId="0" borderId="0" xfId="40" applyNumberFormat="1" applyFont="1" applyBorder="1"/>
    <xf numFmtId="3" fontId="1" fillId="0" borderId="0" xfId="0" applyNumberFormat="1" applyFont="1" applyFill="1" applyAlignment="1">
      <alignment horizontal="center" wrapText="1"/>
    </xf>
    <xf numFmtId="0" fontId="47" fillId="0" borderId="8" xfId="0" applyFont="1" applyFill="1" applyBorder="1" applyAlignment="1">
      <alignment horizontal="center" wrapText="1"/>
    </xf>
    <xf numFmtId="3" fontId="47" fillId="0" borderId="0" xfId="0" applyNumberFormat="1" applyFont="1" applyFill="1" applyBorder="1" applyAlignment="1">
      <alignment horizontal="center"/>
    </xf>
    <xf numFmtId="0" fontId="1" fillId="0" borderId="0" xfId="0" applyFont="1" applyBorder="1"/>
    <xf numFmtId="170" fontId="0" fillId="0" borderId="0" xfId="66" applyNumberFormat="1" applyFont="1"/>
    <xf numFmtId="170" fontId="0" fillId="0" borderId="0" xfId="0" applyNumberFormat="1"/>
    <xf numFmtId="172" fontId="0" fillId="0" borderId="0" xfId="0" applyNumberFormat="1"/>
    <xf numFmtId="0" fontId="48" fillId="0" borderId="0" xfId="0" applyFont="1"/>
    <xf numFmtId="0" fontId="46" fillId="64" borderId="0" xfId="0" applyFont="1" applyFill="1"/>
    <xf numFmtId="0" fontId="46" fillId="64" borderId="7" xfId="0" applyFont="1" applyFill="1" applyBorder="1"/>
    <xf numFmtId="0" fontId="46" fillId="64" borderId="0" xfId="0" applyFont="1" applyFill="1" applyBorder="1"/>
    <xf numFmtId="168" fontId="46" fillId="64" borderId="0" xfId="44" applyNumberFormat="1" applyFont="1" applyFill="1"/>
    <xf numFmtId="9" fontId="0" fillId="0" borderId="0" xfId="44" applyFont="1" applyBorder="1"/>
    <xf numFmtId="0" fontId="2" fillId="65" borderId="0" xfId="0" applyFont="1" applyFill="1"/>
    <xf numFmtId="168" fontId="1" fillId="65" borderId="0" xfId="44" quotePrefix="1" applyNumberFormat="1" applyFont="1" applyFill="1"/>
    <xf numFmtId="0" fontId="0" fillId="65" borderId="0" xfId="0" applyFill="1"/>
    <xf numFmtId="0" fontId="1" fillId="65" borderId="0" xfId="0" quotePrefix="1" applyFont="1" applyFill="1"/>
    <xf numFmtId="171" fontId="0" fillId="65" borderId="0" xfId="0" applyNumberFormat="1" applyFill="1"/>
    <xf numFmtId="170" fontId="0" fillId="65" borderId="0" xfId="0" applyNumberFormat="1" applyFill="1"/>
    <xf numFmtId="168" fontId="0" fillId="65" borderId="0" xfId="44" applyNumberFormat="1" applyFont="1" applyFill="1"/>
    <xf numFmtId="0" fontId="46" fillId="64" borderId="0" xfId="0" applyFont="1" applyFill="1" applyAlignment="1">
      <alignment horizontal="right"/>
    </xf>
    <xf numFmtId="0" fontId="46" fillId="64" borderId="7" xfId="0" applyFont="1" applyFill="1" applyBorder="1" applyAlignment="1">
      <alignment horizontal="right" wrapText="1"/>
    </xf>
    <xf numFmtId="9" fontId="46" fillId="64" borderId="0" xfId="0" applyNumberFormat="1" applyFont="1" applyFill="1"/>
    <xf numFmtId="0" fontId="2" fillId="0" borderId="0" xfId="0" applyFont="1" applyAlignment="1">
      <alignment horizontal="left"/>
    </xf>
    <xf numFmtId="0" fontId="1" fillId="0" borderId="0" xfId="0" applyFont="1" applyAlignment="1">
      <alignment wrapText="1"/>
    </xf>
    <xf numFmtId="0" fontId="0" fillId="0" borderId="0" xfId="0" applyAlignment="1">
      <alignment wrapText="1"/>
    </xf>
    <xf numFmtId="165" fontId="0" fillId="0" borderId="0" xfId="53" applyNumberFormat="1" applyFont="1"/>
    <xf numFmtId="0" fontId="49" fillId="64" borderId="7" xfId="0" applyFont="1" applyFill="1" applyBorder="1"/>
    <xf numFmtId="9" fontId="47" fillId="40" borderId="0" xfId="44" applyFont="1" applyFill="1" applyBorder="1" applyAlignment="1">
      <alignment horizontal="center"/>
    </xf>
    <xf numFmtId="169" fontId="47" fillId="40" borderId="0" xfId="53" applyNumberFormat="1" applyFont="1" applyFill="1" applyBorder="1" applyAlignment="1">
      <alignment horizontal="center"/>
    </xf>
    <xf numFmtId="49" fontId="47" fillId="40" borderId="0" xfId="44" applyNumberFormat="1" applyFont="1" applyFill="1" applyBorder="1" applyAlignment="1">
      <alignment horizontal="center"/>
    </xf>
    <xf numFmtId="170" fontId="0" fillId="40" borderId="0" xfId="66" applyNumberFormat="1" applyFont="1" applyFill="1" applyBorder="1"/>
    <xf numFmtId="0" fontId="46" fillId="40" borderId="0" xfId="0" applyFont="1" applyFill="1"/>
    <xf numFmtId="0" fontId="46" fillId="40" borderId="7" xfId="0" applyFont="1" applyFill="1" applyBorder="1"/>
    <xf numFmtId="49" fontId="1" fillId="0" borderId="0" xfId="0" applyNumberFormat="1" applyFont="1" applyAlignment="1">
      <alignment vertical="top" wrapText="1"/>
    </xf>
    <xf numFmtId="49" fontId="2" fillId="0" borderId="0" xfId="0" applyNumberFormat="1" applyFont="1" applyAlignment="1">
      <alignment vertical="top" wrapText="1"/>
    </xf>
    <xf numFmtId="49" fontId="1" fillId="0" borderId="0" xfId="0" applyNumberFormat="1" applyFont="1" applyAlignment="1">
      <alignment vertical="top" wrapText="1" shrinkToFit="1"/>
    </xf>
    <xf numFmtId="0" fontId="35" fillId="43" borderId="11" xfId="0" applyFont="1" applyFill="1" applyBorder="1" applyAlignment="1">
      <alignment horizontal="center"/>
    </xf>
    <xf numFmtId="0" fontId="35" fillId="43" borderId="8" xfId="0" applyFont="1" applyFill="1" applyBorder="1" applyAlignment="1">
      <alignment horizontal="center"/>
    </xf>
    <xf numFmtId="0" fontId="35" fillId="43" borderId="16" xfId="0" applyFont="1" applyFill="1" applyBorder="1" applyAlignment="1">
      <alignment horizontal="center"/>
    </xf>
    <xf numFmtId="3" fontId="8" fillId="0" borderId="0" xfId="0" quotePrefix="1" applyNumberFormat="1" applyFont="1" applyAlignment="1">
      <alignment horizontal="center"/>
    </xf>
    <xf numFmtId="0" fontId="2" fillId="0" borderId="0" xfId="0" applyFont="1" applyAlignment="1">
      <alignment horizontal="center"/>
    </xf>
  </cellXfs>
  <cellStyles count="67">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7"/>
    <cellStyle name="Calculation" xfId="25"/>
    <cellStyle name="Check Cell" xfId="26"/>
    <cellStyle name="Dårlig 2" xfId="28"/>
    <cellStyle name="Explanatory Text" xfId="29"/>
    <cellStyle name="Good" xfId="30"/>
    <cellStyle name="Heading 1" xfId="31"/>
    <cellStyle name="Heading 2" xfId="32"/>
    <cellStyle name="Heading 3" xfId="33"/>
    <cellStyle name="Heading 4" xfId="34"/>
    <cellStyle name="Input" xfId="35"/>
    <cellStyle name="Komma" xfId="53" builtinId="3"/>
    <cellStyle name="Linked Cell" xfId="36"/>
    <cellStyle name="Neutral" xfId="42"/>
    <cellStyle name="Normal" xfId="0" builtinId="0"/>
    <cellStyle name="Normal 2" xfId="37"/>
    <cellStyle name="Normal 2 2" xfId="38"/>
    <cellStyle name="Normal 4" xfId="39"/>
    <cellStyle name="Normal_Nett redaksjonen" xfId="40"/>
    <cellStyle name="Note" xfId="41"/>
    <cellStyle name="Output" xfId="43"/>
    <cellStyle name="Prosent" xfId="44" builtinId="5"/>
    <cellStyle name="Prosent 2" xfId="45"/>
    <cellStyle name="Prosent 2 2" xfId="46"/>
    <cellStyle name="Prosent 3" xfId="47"/>
    <cellStyle name="Prosent 4" xfId="48"/>
    <cellStyle name="Prosent 5" xfId="49"/>
    <cellStyle name="Prosent 6" xfId="50"/>
    <cellStyle name="Title" xfId="51"/>
    <cellStyle name="Total" xfId="52"/>
    <cellStyle name="Tusenskille [0] 3" xfId="54"/>
    <cellStyle name="Tusenskille 2" xfId="55"/>
    <cellStyle name="Tusenskille 2 2" xfId="56"/>
    <cellStyle name="Tusenskille 3" xfId="57"/>
    <cellStyle name="Tusenskille 3 2" xfId="58"/>
    <cellStyle name="Tusenskille 4" xfId="59"/>
    <cellStyle name="Tusenskille 5" xfId="60"/>
    <cellStyle name="Tusenskille 6" xfId="61"/>
    <cellStyle name="Tusenskille 7" xfId="62"/>
    <cellStyle name="Tusenskille 8" xfId="63"/>
    <cellStyle name="Tusenskille 9" xfId="64"/>
    <cellStyle name="Valuta" xfId="66" builtinId="4"/>
    <cellStyle name="Warning Text" xfId="6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gnskap/REGNSKAP/BUDSJETT/2011/Mal%20Schibsted%20Budget%20Reporting%20Package%202011%20makr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HELP"/>
      <sheetName val="RES"/>
      <sheetName val="CASH"/>
      <sheetName val="EMPL"/>
      <sheetName val="INVE"/>
      <sheetName val="maintanance"/>
      <sheetName val="IC"/>
      <sheetName val="Mal Schibsted Budget Reporting "/>
    </sheetNames>
    <sheetDataSet>
      <sheetData sheetId="0">
        <row r="5">
          <cell r="E5" t="str">
            <v>Norwegian</v>
          </cell>
        </row>
      </sheetData>
      <sheetData sheetId="1"/>
      <sheetData sheetId="2"/>
      <sheetData sheetId="3"/>
      <sheetData sheetId="4"/>
      <sheetData sheetId="5"/>
      <sheetData sheetId="6">
        <row r="4">
          <cell r="Q4">
            <v>1100</v>
          </cell>
          <cell r="R4" t="str">
            <v xml:space="preserve">Utsatt skattefordel                               </v>
          </cell>
          <cell r="S4" t="str">
            <v xml:space="preserve">Deferred tax asset                                </v>
          </cell>
        </row>
        <row r="5">
          <cell r="Q5">
            <v>1110</v>
          </cell>
          <cell r="R5" t="str">
            <v xml:space="preserve">Goodwill                                          </v>
          </cell>
          <cell r="S5" t="str">
            <v xml:space="preserve">Goodwill                                          </v>
          </cell>
        </row>
        <row r="6">
          <cell r="Q6">
            <v>1120</v>
          </cell>
          <cell r="R6" t="str">
            <v xml:space="preserve">Andre immaterielle eiendeler                      </v>
          </cell>
          <cell r="S6" t="str">
            <v xml:space="preserve">Other intangible assets                           </v>
          </cell>
        </row>
        <row r="7">
          <cell r="Q7">
            <v>1199</v>
          </cell>
          <cell r="R7" t="str">
            <v xml:space="preserve">Sum immaterielle eiendeler                        </v>
          </cell>
          <cell r="S7" t="str">
            <v xml:space="preserve">Total intangible assets                           </v>
          </cell>
        </row>
        <row r="8">
          <cell r="Q8">
            <v>1200</v>
          </cell>
          <cell r="R8" t="str">
            <v xml:space="preserve">Bygninger og tomter                               </v>
          </cell>
          <cell r="S8" t="str">
            <v xml:space="preserve">Buildings and land                                </v>
          </cell>
        </row>
        <row r="9">
          <cell r="Q9">
            <v>1210</v>
          </cell>
          <cell r="R9" t="str">
            <v xml:space="preserve">Anlegg under utførelse                            </v>
          </cell>
          <cell r="S9" t="str">
            <v xml:space="preserve">Construction in progress                          </v>
          </cell>
        </row>
        <row r="10">
          <cell r="Q10">
            <v>1220</v>
          </cell>
          <cell r="R10" t="str">
            <v xml:space="preserve">Maskiner                                          </v>
          </cell>
          <cell r="S10" t="str">
            <v xml:space="preserve">Machinery                                         </v>
          </cell>
        </row>
        <row r="11">
          <cell r="Q11">
            <v>1230</v>
          </cell>
          <cell r="R11" t="str">
            <v xml:space="preserve">Inventar og transportmidler                       </v>
          </cell>
          <cell r="S11" t="str">
            <v xml:space="preserve">Furnitures. vehicles                              </v>
          </cell>
        </row>
        <row r="12">
          <cell r="Q12">
            <v>1299</v>
          </cell>
          <cell r="R12" t="str">
            <v xml:space="preserve">Sum varige driftsmidler                           </v>
          </cell>
          <cell r="S12" t="str">
            <v xml:space="preserve">Total operating assets                            </v>
          </cell>
        </row>
        <row r="13">
          <cell r="Q13">
            <v>1300</v>
          </cell>
          <cell r="R13" t="str">
            <v xml:space="preserve">Investeringer i datterselskap og FKV              </v>
          </cell>
          <cell r="S13" t="str">
            <v xml:space="preserve">Investments in subsidiaries and JV                </v>
          </cell>
        </row>
        <row r="14">
          <cell r="Q14">
            <v>1310</v>
          </cell>
          <cell r="R14" t="str">
            <v xml:space="preserve">Investeringer i tilknyttede selsk.                </v>
          </cell>
          <cell r="S14" t="str">
            <v xml:space="preserve">Investments in associated companies               </v>
          </cell>
        </row>
        <row r="15">
          <cell r="Q15">
            <v>1320</v>
          </cell>
          <cell r="R15" t="str">
            <v xml:space="preserve">Investeringer i andre aksjer og andeler           </v>
          </cell>
          <cell r="S15" t="str">
            <v xml:space="preserve">Investments in other shares and interests         </v>
          </cell>
        </row>
        <row r="16">
          <cell r="Q16">
            <v>1330</v>
          </cell>
          <cell r="R16" t="str">
            <v xml:space="preserve">Langsiktige fordringer konsernselskap             </v>
          </cell>
          <cell r="S16" t="str">
            <v xml:space="preserve">Long-term receivables in group companies          </v>
          </cell>
        </row>
        <row r="17">
          <cell r="Q17">
            <v>1340</v>
          </cell>
          <cell r="R17" t="str">
            <v xml:space="preserve">Langs. fordr. på tilknyttede selskap              </v>
          </cell>
          <cell r="S17" t="str">
            <v xml:space="preserve">Long-term receivables in assosiated companies     </v>
          </cell>
        </row>
        <row r="18">
          <cell r="Q18">
            <v>1350</v>
          </cell>
          <cell r="R18" t="str">
            <v xml:space="preserve">Andre langsiktige fordringer                      </v>
          </cell>
          <cell r="S18" t="str">
            <v xml:space="preserve">Other long-term receivables                       </v>
          </cell>
        </row>
        <row r="19">
          <cell r="Q19">
            <v>1360</v>
          </cell>
          <cell r="R19" t="str">
            <v xml:space="preserve">Netto pensjonsmidler                              </v>
          </cell>
          <cell r="S19" t="str">
            <v xml:space="preserve">Net pension assets                                </v>
          </cell>
        </row>
        <row r="20">
          <cell r="Q20">
            <v>1398</v>
          </cell>
          <cell r="R20" t="str">
            <v xml:space="preserve">Investeringer - offset                            </v>
          </cell>
          <cell r="S20" t="str">
            <v xml:space="preserve">Investments - offset                              </v>
          </cell>
        </row>
        <row r="21">
          <cell r="Q21">
            <v>1399</v>
          </cell>
          <cell r="R21" t="str">
            <v xml:space="preserve">Sum finansielle anleggsmidler                     </v>
          </cell>
          <cell r="S21" t="str">
            <v xml:space="preserve">Total financial assets                            </v>
          </cell>
        </row>
        <row r="22">
          <cell r="Q22">
            <v>1499</v>
          </cell>
          <cell r="R22" t="str">
            <v xml:space="preserve">Sum anleggsmidler                                 </v>
          </cell>
          <cell r="S22" t="str">
            <v xml:space="preserve">Total fixed assets                                </v>
          </cell>
        </row>
        <row r="23">
          <cell r="Q23">
            <v>1500</v>
          </cell>
          <cell r="R23" t="str">
            <v xml:space="preserve">Varebeholdning                                    </v>
          </cell>
          <cell r="S23" t="str">
            <v xml:space="preserve">Inventories                                       </v>
          </cell>
        </row>
        <row r="24">
          <cell r="Q24">
            <v>1600</v>
          </cell>
          <cell r="R24" t="str">
            <v xml:space="preserve">Kundefordringer (brutto)                          </v>
          </cell>
          <cell r="S24" t="str">
            <v xml:space="preserve">Accounts receivables (nominal amount)             </v>
          </cell>
        </row>
        <row r="25">
          <cell r="Q25">
            <v>1601</v>
          </cell>
          <cell r="R25" t="str">
            <v xml:space="preserve">Avsetning for tap                                 </v>
          </cell>
          <cell r="S25" t="str">
            <v xml:space="preserve">Impairment loss                                   </v>
          </cell>
        </row>
        <row r="26">
          <cell r="Q26">
            <v>1605</v>
          </cell>
          <cell r="R26" t="str">
            <v xml:space="preserve">Kundefordringer                                   </v>
          </cell>
          <cell r="S26" t="str">
            <v xml:space="preserve">Accounts receivables                              </v>
          </cell>
        </row>
        <row r="27">
          <cell r="Q27">
            <v>1610</v>
          </cell>
          <cell r="R27" t="str">
            <v xml:space="preserve">Forskudd leverandører                             </v>
          </cell>
          <cell r="S27" t="str">
            <v xml:space="preserve">Prepayments                                       </v>
          </cell>
        </row>
        <row r="28">
          <cell r="Q28">
            <v>1620</v>
          </cell>
          <cell r="R28" t="str">
            <v xml:space="preserve">Kortsiktige fordringer konsernselskap             </v>
          </cell>
          <cell r="S28" t="str">
            <v xml:space="preserve">Short-term receivables from group companies       </v>
          </cell>
        </row>
        <row r="29">
          <cell r="Q29">
            <v>1630</v>
          </cell>
          <cell r="R29" t="str">
            <v xml:space="preserve">Andre kortsiktige fordringer                      </v>
          </cell>
          <cell r="S29" t="str">
            <v xml:space="preserve">Other receivables                                 </v>
          </cell>
        </row>
        <row r="30">
          <cell r="Q30">
            <v>1631</v>
          </cell>
          <cell r="R30" t="str">
            <v xml:space="preserve">Periodiserte (forskuddsbetalte) kostnader         </v>
          </cell>
          <cell r="S30" t="str">
            <v xml:space="preserve">Prepayed expences                                 </v>
          </cell>
        </row>
        <row r="31">
          <cell r="Q31">
            <v>1632</v>
          </cell>
          <cell r="R31" t="str">
            <v>Periodiserte (opptjent, ikke fakturerte) inntekter</v>
          </cell>
          <cell r="S31" t="str">
            <v xml:space="preserve">Accrued income                                    </v>
          </cell>
        </row>
        <row r="32">
          <cell r="Q32">
            <v>1633</v>
          </cell>
          <cell r="R32" t="str">
            <v xml:space="preserve">Krav på tilbakebetaling av skatt                  </v>
          </cell>
          <cell r="S32" t="str">
            <v xml:space="preserve">Current tax receivable                            </v>
          </cell>
        </row>
        <row r="33">
          <cell r="Q33">
            <v>1634</v>
          </cell>
          <cell r="R33" t="str">
            <v xml:space="preserve">Andre krav på offentlig myndighet                 </v>
          </cell>
          <cell r="S33" t="str">
            <v xml:space="preserve">Receivable from public authorities                </v>
          </cell>
        </row>
        <row r="34">
          <cell r="Q34">
            <v>1635</v>
          </cell>
          <cell r="R34" t="str">
            <v xml:space="preserve">Virkelig verdi av finansielle derivater           </v>
          </cell>
          <cell r="S34" t="str">
            <v xml:space="preserve">Financial derivatives                             </v>
          </cell>
        </row>
        <row r="35">
          <cell r="Q35">
            <v>1636</v>
          </cell>
          <cell r="R35" t="str">
            <v xml:space="preserve">Andre fordringer                                  </v>
          </cell>
          <cell r="S35" t="str">
            <v xml:space="preserve">Other receivables                                 </v>
          </cell>
        </row>
        <row r="36">
          <cell r="Q36">
            <v>1649</v>
          </cell>
          <cell r="R36" t="str">
            <v xml:space="preserve">Sum fordringer                                    </v>
          </cell>
          <cell r="S36" t="str">
            <v xml:space="preserve">Total receivables                                 </v>
          </cell>
        </row>
        <row r="37">
          <cell r="Q37">
            <v>1650</v>
          </cell>
          <cell r="R37" t="str">
            <v xml:space="preserve">Investeringer i aksjer                            </v>
          </cell>
          <cell r="S37" t="str">
            <v xml:space="preserve">Investment in shares                              </v>
          </cell>
        </row>
        <row r="38">
          <cell r="Q38">
            <v>1660</v>
          </cell>
          <cell r="R38" t="str">
            <v xml:space="preserve">Investeringer i rentebærende plasseringer         </v>
          </cell>
          <cell r="S38" t="str">
            <v>Investment in interest-bearing securities and bank</v>
          </cell>
        </row>
        <row r="39">
          <cell r="Q39">
            <v>1700</v>
          </cell>
          <cell r="R39" t="str">
            <v xml:space="preserve">Bankinnskudd og kontanter                         </v>
          </cell>
          <cell r="S39" t="str">
            <v xml:space="preserve">Cash and bank deposits                            </v>
          </cell>
        </row>
        <row r="40">
          <cell r="Q40">
            <v>1710</v>
          </cell>
          <cell r="R40" t="str">
            <v xml:space="preserve">Cashpool Danske Bank                              </v>
          </cell>
          <cell r="S40" t="str">
            <v xml:space="preserve">Cashpool Danske Bank                              </v>
          </cell>
        </row>
        <row r="41">
          <cell r="Q41">
            <v>1899</v>
          </cell>
          <cell r="R41" t="str">
            <v xml:space="preserve">Sum omløpsmidler                                  </v>
          </cell>
          <cell r="S41" t="str">
            <v xml:space="preserve">Total current assets                              </v>
          </cell>
        </row>
        <row r="42">
          <cell r="Q42">
            <v>1999</v>
          </cell>
          <cell r="R42" t="str">
            <v xml:space="preserve">Sum eiendeler                                     </v>
          </cell>
          <cell r="S42" t="str">
            <v xml:space="preserve">Total assets                                      </v>
          </cell>
        </row>
        <row r="43">
          <cell r="Q43">
            <v>2020</v>
          </cell>
          <cell r="R43" t="str">
            <v xml:space="preserve">Utsatt skattefordel                               </v>
          </cell>
          <cell r="S43" t="str">
            <v xml:space="preserve">Deferred tax asset                                </v>
          </cell>
        </row>
        <row r="44">
          <cell r="Q44">
            <v>2100</v>
          </cell>
          <cell r="R44" t="str">
            <v xml:space="preserve">Selskapskapital                                   </v>
          </cell>
          <cell r="S44" t="str">
            <v xml:space="preserve">Share capital                                     </v>
          </cell>
        </row>
        <row r="45">
          <cell r="Q45">
            <v>2110</v>
          </cell>
          <cell r="R45" t="str">
            <v xml:space="preserve">Egne aksjer                                       </v>
          </cell>
          <cell r="S45" t="str">
            <v xml:space="preserve">Own shares                                        </v>
          </cell>
        </row>
        <row r="46">
          <cell r="Q46">
            <v>2120</v>
          </cell>
          <cell r="R46" t="str">
            <v xml:space="preserve">Overkursfond                                      </v>
          </cell>
          <cell r="S46" t="str">
            <v xml:space="preserve">Excess value reserve                              </v>
          </cell>
        </row>
        <row r="47">
          <cell r="Q47">
            <v>2130</v>
          </cell>
          <cell r="R47" t="str">
            <v xml:space="preserve">Annen innbetalt kapital                           </v>
          </cell>
          <cell r="S47" t="str">
            <v xml:space="preserve">Annen innbetalt kapital                           </v>
          </cell>
        </row>
        <row r="48">
          <cell r="Q48">
            <v>2199</v>
          </cell>
          <cell r="R48" t="str">
            <v xml:space="preserve">Sum innskutt egenkapital                          </v>
          </cell>
          <cell r="S48" t="str">
            <v xml:space="preserve">Total paid in capital                             </v>
          </cell>
        </row>
        <row r="49">
          <cell r="Q49">
            <v>2200</v>
          </cell>
          <cell r="R49" t="str">
            <v xml:space="preserve">Annen EK Sikringsbokføring                        </v>
          </cell>
          <cell r="S49" t="str">
            <v xml:space="preserve">Other equity hedge accounting                     </v>
          </cell>
        </row>
        <row r="50">
          <cell r="Q50">
            <v>2210</v>
          </cell>
          <cell r="R50" t="str">
            <v xml:space="preserve">Tilbakeholdt resultat                             </v>
          </cell>
          <cell r="S50" t="str">
            <v xml:space="preserve">Retained earnings                                 </v>
          </cell>
        </row>
        <row r="51">
          <cell r="Q51">
            <v>2214</v>
          </cell>
          <cell r="R51" t="str">
            <v xml:space="preserve">Bokført omr. diff                                 </v>
          </cell>
          <cell r="S51" t="str">
            <v xml:space="preserve">Booked conv.diff                                  </v>
          </cell>
        </row>
        <row r="52">
          <cell r="Q52">
            <v>2215</v>
          </cell>
          <cell r="R52" t="str">
            <v xml:space="preserve">Omregningsdifferanse                              </v>
          </cell>
          <cell r="S52" t="str">
            <v xml:space="preserve">Conversion Difference                             </v>
          </cell>
        </row>
        <row r="53">
          <cell r="Q53">
            <v>2220</v>
          </cell>
          <cell r="R53" t="str">
            <v xml:space="preserve">Periodens resultat                                </v>
          </cell>
          <cell r="S53" t="str">
            <v xml:space="preserve">Net profit/loss                                   </v>
          </cell>
        </row>
        <row r="54">
          <cell r="Q54">
            <v>2230</v>
          </cell>
          <cell r="R54" t="str">
            <v xml:space="preserve">Tilgjengelig for salg investeringer               </v>
          </cell>
          <cell r="S54" t="str">
            <v xml:space="preserve">Availeble sale investments                        </v>
          </cell>
        </row>
        <row r="55">
          <cell r="Q55">
            <v>2240</v>
          </cell>
          <cell r="R55" t="str">
            <v xml:space="preserve">Sum majoritetens andel av EK                      </v>
          </cell>
          <cell r="S55" t="str">
            <v xml:space="preserve">Majority share of equity                          </v>
          </cell>
        </row>
        <row r="56">
          <cell r="Q56">
            <v>2250</v>
          </cell>
          <cell r="R56" t="str">
            <v xml:space="preserve">Sum opptjent egenkapital                          </v>
          </cell>
          <cell r="S56" t="str">
            <v xml:space="preserve">Total earned equity                               </v>
          </cell>
        </row>
        <row r="57">
          <cell r="Q57">
            <v>2275</v>
          </cell>
          <cell r="R57" t="str">
            <v xml:space="preserve">Minoritetsinteresser                              </v>
          </cell>
          <cell r="S57" t="str">
            <v xml:space="preserve">Minority interests                                </v>
          </cell>
        </row>
        <row r="58">
          <cell r="Q58">
            <v>2300</v>
          </cell>
          <cell r="R58" t="str">
            <v xml:space="preserve">Sum egenkapital                                   </v>
          </cell>
          <cell r="S58" t="str">
            <v xml:space="preserve">Total equity                                      </v>
          </cell>
        </row>
        <row r="59">
          <cell r="Q59">
            <v>2400</v>
          </cell>
          <cell r="R59" t="str">
            <v xml:space="preserve">Pensjonsforpliktelser                             </v>
          </cell>
          <cell r="S59" t="str">
            <v xml:space="preserve">Pension obligations                               </v>
          </cell>
        </row>
        <row r="60">
          <cell r="Q60">
            <v>2410</v>
          </cell>
          <cell r="R60" t="str">
            <v xml:space="preserve">Utsatt skatt                                      </v>
          </cell>
          <cell r="S60" t="str">
            <v xml:space="preserve">Deffered tax                                      </v>
          </cell>
        </row>
        <row r="61">
          <cell r="Q61">
            <v>2420</v>
          </cell>
          <cell r="R61" t="str">
            <v xml:space="preserve">Andre avsetninger for forpliktelser               </v>
          </cell>
          <cell r="S61" t="str">
            <v xml:space="preserve">Other appropriation of obligations                </v>
          </cell>
        </row>
        <row r="62">
          <cell r="Q62">
            <v>2430</v>
          </cell>
          <cell r="R62" t="str">
            <v xml:space="preserve">Ubeskattede reserver (S GAAP)                     </v>
          </cell>
          <cell r="S62" t="str">
            <v xml:space="preserve">Untaxed reserves (S GAAP)                         </v>
          </cell>
        </row>
        <row r="63">
          <cell r="Q63">
            <v>2499</v>
          </cell>
          <cell r="R63" t="str">
            <v xml:space="preserve">Sum avsetning for forpliktelser                   </v>
          </cell>
          <cell r="S63" t="str">
            <v xml:space="preserve">Total appropriation of obligations                </v>
          </cell>
        </row>
        <row r="64">
          <cell r="Q64">
            <v>2500</v>
          </cell>
          <cell r="R64" t="str">
            <v xml:space="preserve">Langs. rentebærende gjeld                         </v>
          </cell>
          <cell r="S64" t="str">
            <v xml:space="preserve">Interest bearing long term debt                   </v>
          </cell>
        </row>
        <row r="65">
          <cell r="Q65">
            <v>2510</v>
          </cell>
          <cell r="R65" t="str">
            <v xml:space="preserve">Langs. gjeld til konsernselskap                   </v>
          </cell>
          <cell r="S65" t="str">
            <v xml:space="preserve">Long-term debt to group companies                 </v>
          </cell>
        </row>
        <row r="66">
          <cell r="Q66">
            <v>2520</v>
          </cell>
          <cell r="R66" t="str">
            <v xml:space="preserve">Annen langs. gjeld                                </v>
          </cell>
          <cell r="S66" t="str">
            <v xml:space="preserve">Other long-term debt                              </v>
          </cell>
        </row>
        <row r="67">
          <cell r="Q67">
            <v>2599</v>
          </cell>
          <cell r="R67" t="str">
            <v xml:space="preserve">Sum langsiktig gjeld                              </v>
          </cell>
          <cell r="S67" t="str">
            <v xml:space="preserve">Total long-term debt                              </v>
          </cell>
        </row>
        <row r="68">
          <cell r="Q68">
            <v>2600</v>
          </cell>
          <cell r="R68" t="str">
            <v xml:space="preserve">Leverandørgjeld                                   </v>
          </cell>
          <cell r="S68" t="str">
            <v xml:space="preserve">Accounts payables                                 </v>
          </cell>
        </row>
        <row r="69">
          <cell r="Q69">
            <v>2610</v>
          </cell>
          <cell r="R69" t="str">
            <v xml:space="preserve">Betalbare skatter                                 </v>
          </cell>
          <cell r="S69" t="str">
            <v xml:space="preserve">Taxes payable                                     </v>
          </cell>
        </row>
        <row r="70">
          <cell r="Q70">
            <v>2620</v>
          </cell>
          <cell r="R70" t="str">
            <v xml:space="preserve">Skyldige offentlige avgifter                      </v>
          </cell>
          <cell r="S70" t="str">
            <v xml:space="preserve">Accrued public dues                               </v>
          </cell>
        </row>
        <row r="71">
          <cell r="Q71">
            <v>2630</v>
          </cell>
          <cell r="R71" t="str">
            <v xml:space="preserve">Skyldig utbytte                                   </v>
          </cell>
          <cell r="S71" t="str">
            <v xml:space="preserve">Proposed dividend                                 </v>
          </cell>
        </row>
        <row r="72">
          <cell r="Q72">
            <v>2640</v>
          </cell>
          <cell r="R72" t="str">
            <v xml:space="preserve">Kortsiktig gjeld til konsernselskap               </v>
          </cell>
          <cell r="S72" t="str">
            <v xml:space="preserve">Current liabilities to group companies            </v>
          </cell>
        </row>
        <row r="73">
          <cell r="Q73">
            <v>2650</v>
          </cell>
          <cell r="R73" t="str">
            <v xml:space="preserve">Annen kortsiktig gjeld                            </v>
          </cell>
          <cell r="S73" t="str">
            <v xml:space="preserve">Other current liabilities                         </v>
          </cell>
        </row>
        <row r="74">
          <cell r="Q74">
            <v>2651</v>
          </cell>
          <cell r="R74" t="str">
            <v xml:space="preserve">Restruktureringskostnader                         </v>
          </cell>
          <cell r="S74" t="str">
            <v xml:space="preserve">Accrued restructing costs                         </v>
          </cell>
        </row>
        <row r="75">
          <cell r="Q75">
            <v>2652</v>
          </cell>
          <cell r="R75" t="str">
            <v xml:space="preserve">Periodisert (påløpne) kostnader                   </v>
          </cell>
          <cell r="S75" t="str">
            <v xml:space="preserve">Other accrued expenses                            </v>
          </cell>
        </row>
        <row r="76">
          <cell r="Q76">
            <v>2653</v>
          </cell>
          <cell r="R76" t="str">
            <v xml:space="preserve">Virkelig verdi av finansielle derivater           </v>
          </cell>
          <cell r="S76" t="str">
            <v xml:space="preserve">Financial derivatives                             </v>
          </cell>
        </row>
        <row r="77">
          <cell r="Q77">
            <v>2654</v>
          </cell>
          <cell r="R77" t="str">
            <v xml:space="preserve">Annen kortsiktig gjeld                            </v>
          </cell>
          <cell r="S77" t="str">
            <v xml:space="preserve">Other liabilities                                 </v>
          </cell>
        </row>
        <row r="78">
          <cell r="Q78">
            <v>2660</v>
          </cell>
          <cell r="R78" t="str">
            <v xml:space="preserve">Forskuddsbetaling fra kunder                      </v>
          </cell>
          <cell r="S78" t="str">
            <v xml:space="preserve">Receivables prepayments                           </v>
          </cell>
        </row>
        <row r="79">
          <cell r="Q79">
            <v>2670</v>
          </cell>
          <cell r="R79" t="str">
            <v xml:space="preserve">Kortsiktig rentebærende gjeld                     </v>
          </cell>
          <cell r="S79" t="str">
            <v xml:space="preserve">Interest bearing liabilities                      </v>
          </cell>
        </row>
        <row r="80">
          <cell r="Q80">
            <v>2680</v>
          </cell>
          <cell r="R80" t="str">
            <v xml:space="preserve">Påløpt lønn                                       </v>
          </cell>
          <cell r="S80" t="str">
            <v xml:space="preserve">Payable salary                                    </v>
          </cell>
        </row>
        <row r="81">
          <cell r="Q81">
            <v>2699</v>
          </cell>
          <cell r="R81" t="str">
            <v xml:space="preserve">Sum kortsiktig gjeld                              </v>
          </cell>
          <cell r="S81" t="str">
            <v xml:space="preserve">Total current liabilities                         </v>
          </cell>
        </row>
        <row r="82">
          <cell r="Q82">
            <v>2990</v>
          </cell>
          <cell r="R82" t="str">
            <v xml:space="preserve">Utsatt skattefordel                               </v>
          </cell>
          <cell r="S82" t="str">
            <v xml:space="preserve">Deferred tax asset                                </v>
          </cell>
        </row>
        <row r="83">
          <cell r="Q83">
            <v>2999</v>
          </cell>
          <cell r="R83" t="str">
            <v xml:space="preserve">Sum egenkapital og gjeld                          </v>
          </cell>
          <cell r="S83" t="str">
            <v xml:space="preserve">Total shareholders' equity and liabilities        </v>
          </cell>
        </row>
        <row r="84">
          <cell r="Q84">
            <v>3100</v>
          </cell>
          <cell r="R84" t="str">
            <v xml:space="preserve">Abonnementsinntekter                              </v>
          </cell>
          <cell r="S84" t="str">
            <v xml:space="preserve">Subscription revenues                             </v>
          </cell>
        </row>
        <row r="85">
          <cell r="Q85">
            <v>3101</v>
          </cell>
          <cell r="R85" t="str">
            <v xml:space="preserve">Abonnementsinntekter - barter                     </v>
          </cell>
          <cell r="S85" t="str">
            <v xml:space="preserve">Subscription revenues - barter                    </v>
          </cell>
        </row>
        <row r="86">
          <cell r="Q86">
            <v>3150</v>
          </cell>
          <cell r="R86" t="str">
            <v xml:space="preserve">Interne abonnementsinntekter                      </v>
          </cell>
          <cell r="S86" t="str">
            <v xml:space="preserve">IC subscription revenues                          </v>
          </cell>
        </row>
        <row r="87">
          <cell r="Q87">
            <v>3151</v>
          </cell>
          <cell r="R87" t="str">
            <v xml:space="preserve">Interne abonnementsinntekter - barter             </v>
          </cell>
          <cell r="S87" t="str">
            <v xml:space="preserve">IC subscription revenues - barter                 </v>
          </cell>
        </row>
        <row r="88">
          <cell r="Q88">
            <v>3199</v>
          </cell>
          <cell r="R88" t="str">
            <v xml:space="preserve">Sum abonnementsinntekter                          </v>
          </cell>
          <cell r="S88" t="str">
            <v xml:space="preserve">Total subscription revenues                       </v>
          </cell>
        </row>
        <row r="89">
          <cell r="Q89">
            <v>3200</v>
          </cell>
          <cell r="R89" t="str">
            <v xml:space="preserve">Løssalgsinntekter                                 </v>
          </cell>
          <cell r="S89" t="str">
            <v xml:space="preserve">Casual sales revenues                             </v>
          </cell>
        </row>
        <row r="90">
          <cell r="Q90">
            <v>3201</v>
          </cell>
          <cell r="R90" t="str">
            <v xml:space="preserve">Løssalgsinntekter - barter                        </v>
          </cell>
          <cell r="S90" t="str">
            <v xml:space="preserve">Casual sales revenues - barter                    </v>
          </cell>
        </row>
        <row r="91">
          <cell r="Q91">
            <v>3250</v>
          </cell>
          <cell r="R91" t="str">
            <v xml:space="preserve">Interne løssalgsinntekter                         </v>
          </cell>
          <cell r="S91" t="str">
            <v xml:space="preserve">IC casual sales revenues                          </v>
          </cell>
        </row>
        <row r="92">
          <cell r="Q92">
            <v>3251</v>
          </cell>
          <cell r="R92" t="str">
            <v xml:space="preserve">Interne løssalgsinntekter - barter                </v>
          </cell>
          <cell r="S92" t="str">
            <v xml:space="preserve">IC casual sales revenues - barter                 </v>
          </cell>
        </row>
        <row r="93">
          <cell r="Q93">
            <v>3299</v>
          </cell>
          <cell r="R93" t="str">
            <v xml:space="preserve">Sum løssalgsinntekter                             </v>
          </cell>
          <cell r="S93" t="str">
            <v xml:space="preserve">Total  casual sales revenues                      </v>
          </cell>
        </row>
        <row r="94">
          <cell r="Q94">
            <v>3300</v>
          </cell>
          <cell r="R94" t="str">
            <v xml:space="preserve">Annonseinntekter                                  </v>
          </cell>
          <cell r="S94" t="str">
            <v xml:space="preserve">Advertising revenues                              </v>
          </cell>
        </row>
        <row r="95">
          <cell r="Q95">
            <v>3301</v>
          </cell>
          <cell r="R95" t="str">
            <v xml:space="preserve">Annonseinntekter-barter                           </v>
          </cell>
          <cell r="S95" t="str">
            <v xml:space="preserve">Advertising revenues-  barter                     </v>
          </cell>
        </row>
        <row r="96">
          <cell r="Q96">
            <v>3310</v>
          </cell>
          <cell r="R96" t="str">
            <v xml:space="preserve">Annonseinntekter nettannonser                     </v>
          </cell>
          <cell r="S96" t="str">
            <v xml:space="preserve">Advertising revenues online                       </v>
          </cell>
        </row>
        <row r="97">
          <cell r="Q97">
            <v>3350</v>
          </cell>
          <cell r="R97" t="str">
            <v xml:space="preserve">Interne annonseinntekter                          </v>
          </cell>
          <cell r="S97" t="str">
            <v xml:space="preserve">IC advertising revenues                           </v>
          </cell>
        </row>
        <row r="98">
          <cell r="Q98">
            <v>3351</v>
          </cell>
          <cell r="R98" t="str">
            <v xml:space="preserve">Interne annonseinntekter - barter                 </v>
          </cell>
          <cell r="S98" t="str">
            <v xml:space="preserve">IC advertising revenues - barter                  </v>
          </cell>
        </row>
        <row r="99">
          <cell r="Q99">
            <v>3399</v>
          </cell>
          <cell r="R99" t="str">
            <v xml:space="preserve">Sum annonseinntekter                              </v>
          </cell>
          <cell r="S99" t="str">
            <v xml:space="preserve">Total  advertising revenues                       </v>
          </cell>
        </row>
        <row r="100">
          <cell r="Q100">
            <v>3400</v>
          </cell>
          <cell r="R100" t="str">
            <v xml:space="preserve">Øvrige driftsinntekter                            </v>
          </cell>
          <cell r="S100" t="str">
            <v xml:space="preserve">Other operating revenues                          </v>
          </cell>
        </row>
        <row r="101">
          <cell r="Q101">
            <v>3401</v>
          </cell>
          <cell r="R101" t="str">
            <v xml:space="preserve">Øvrige driftsinntekter-barter                     </v>
          </cell>
          <cell r="S101" t="str">
            <v xml:space="preserve">Other operating revenues-barter                   </v>
          </cell>
        </row>
        <row r="102">
          <cell r="Q102">
            <v>3402</v>
          </cell>
          <cell r="R102" t="str">
            <v xml:space="preserve">Digitale søketjenester                            </v>
          </cell>
          <cell r="S102" t="str">
            <v xml:space="preserve">Online searching services                         </v>
          </cell>
        </row>
        <row r="103">
          <cell r="Q103">
            <v>3403</v>
          </cell>
          <cell r="R103" t="str">
            <v xml:space="preserve">Elektroniske tjenester                            </v>
          </cell>
          <cell r="S103" t="str">
            <v xml:space="preserve">Electronic services                               </v>
          </cell>
        </row>
        <row r="104">
          <cell r="Q104">
            <v>3404</v>
          </cell>
          <cell r="R104" t="str">
            <v xml:space="preserve">Forlagsinntekter                                  </v>
          </cell>
          <cell r="S104" t="str">
            <v xml:space="preserve">Publishing revenue                                </v>
          </cell>
        </row>
        <row r="105">
          <cell r="Q105">
            <v>3405</v>
          </cell>
          <cell r="R105" t="str">
            <v xml:space="preserve">Leieinntekter                                     </v>
          </cell>
          <cell r="S105" t="str">
            <v xml:space="preserve">Rental income                                     </v>
          </cell>
        </row>
        <row r="106">
          <cell r="Q106">
            <v>3406</v>
          </cell>
          <cell r="R106" t="str">
            <v xml:space="preserve">Konsulentinntekter                                </v>
          </cell>
          <cell r="S106" t="str">
            <v xml:space="preserve">Consultancy services                              </v>
          </cell>
        </row>
        <row r="107">
          <cell r="Q107">
            <v>3407</v>
          </cell>
          <cell r="R107" t="str">
            <v xml:space="preserve">Provisjonsinntekter                               </v>
          </cell>
          <cell r="S107" t="str">
            <v xml:space="preserve">Commission income                                 </v>
          </cell>
        </row>
        <row r="108">
          <cell r="Q108">
            <v>3408</v>
          </cell>
          <cell r="R108" t="str">
            <v xml:space="preserve">TV &amp; Film produksjon inntekter                    </v>
          </cell>
          <cell r="S108" t="str">
            <v xml:space="preserve">TV &amp; Film production revenues                     </v>
          </cell>
        </row>
        <row r="109">
          <cell r="Q109">
            <v>3409</v>
          </cell>
          <cell r="R109" t="str">
            <v xml:space="preserve">Gevinst ved salg av anleggmidler                  </v>
          </cell>
          <cell r="S109" t="str">
            <v xml:space="preserve">Profit on sale of fixed assets                    </v>
          </cell>
        </row>
        <row r="110">
          <cell r="Q110">
            <v>3410</v>
          </cell>
          <cell r="R110" t="str">
            <v xml:space="preserve">Distribusjonsinntekter                            </v>
          </cell>
          <cell r="S110" t="str">
            <v xml:space="preserve">Distribution revenue                              </v>
          </cell>
        </row>
        <row r="111">
          <cell r="Q111">
            <v>3411</v>
          </cell>
          <cell r="R111" t="str">
            <v xml:space="preserve">Statlige bidrag                                   </v>
          </cell>
          <cell r="S111" t="str">
            <v xml:space="preserve">Governmental Contribution                         </v>
          </cell>
        </row>
        <row r="112">
          <cell r="Q112">
            <v>3412</v>
          </cell>
          <cell r="R112" t="str">
            <v xml:space="preserve">Stykksalg fra egne arkiv                          </v>
          </cell>
          <cell r="S112" t="str">
            <v xml:space="preserve">Sales from own archives                           </v>
          </cell>
        </row>
        <row r="113">
          <cell r="Q113">
            <v>3413</v>
          </cell>
          <cell r="R113" t="str">
            <v xml:space="preserve">Trykkerioppdrag og -entrepriser                   </v>
          </cell>
          <cell r="S113" t="str">
            <v xml:space="preserve">Printing services                                 </v>
          </cell>
        </row>
        <row r="114">
          <cell r="Q114">
            <v>3414</v>
          </cell>
          <cell r="R114" t="str">
            <v xml:space="preserve">Lisensinntekter                                   </v>
          </cell>
          <cell r="S114" t="str">
            <v xml:space="preserve">Licence revenue                                   </v>
          </cell>
        </row>
        <row r="115">
          <cell r="Q115">
            <v>3415</v>
          </cell>
          <cell r="R115" t="str">
            <v xml:space="preserve">Video &amp; Film distribusjonsinntekter               </v>
          </cell>
          <cell r="S115" t="str">
            <v xml:space="preserve">Video &amp; Film distribution revenues                </v>
          </cell>
        </row>
        <row r="116">
          <cell r="Q116">
            <v>3450</v>
          </cell>
          <cell r="R116" t="str">
            <v xml:space="preserve">Interne øvrige driftsinntekter                    </v>
          </cell>
          <cell r="S116" t="str">
            <v xml:space="preserve">IC other operating revenues                       </v>
          </cell>
        </row>
        <row r="117">
          <cell r="Q117">
            <v>3451</v>
          </cell>
          <cell r="R117" t="str">
            <v xml:space="preserve">Interne øvrige driftsinntekter - barter           </v>
          </cell>
          <cell r="S117" t="str">
            <v xml:space="preserve">IC other operating revenues - barter              </v>
          </cell>
        </row>
        <row r="118">
          <cell r="Q118">
            <v>3499</v>
          </cell>
          <cell r="R118" t="str">
            <v xml:space="preserve">Sum øvrige driftsinntekter                        </v>
          </cell>
          <cell r="S118" t="str">
            <v xml:space="preserve">Total  other operating revenues                   </v>
          </cell>
        </row>
        <row r="119">
          <cell r="Q119">
            <v>3900</v>
          </cell>
          <cell r="R119" t="str">
            <v xml:space="preserve">Sum driftsinntekter                               </v>
          </cell>
          <cell r="S119" t="str">
            <v xml:space="preserve">Total revenues                                    </v>
          </cell>
        </row>
        <row r="120">
          <cell r="Q120">
            <v>4100</v>
          </cell>
          <cell r="R120" t="str">
            <v xml:space="preserve">Forbruk av råvarer                                </v>
          </cell>
          <cell r="S120" t="str">
            <v xml:space="preserve">Raw materials used                                </v>
          </cell>
        </row>
        <row r="121">
          <cell r="Q121">
            <v>4150</v>
          </cell>
          <cell r="R121" t="str">
            <v xml:space="preserve">Internt forbruk av råvarer                        </v>
          </cell>
          <cell r="S121" t="str">
            <v xml:space="preserve">IC raw materials used                             </v>
          </cell>
        </row>
        <row r="122">
          <cell r="Q122">
            <v>4199</v>
          </cell>
          <cell r="R122" t="str">
            <v xml:space="preserve">Sum forbruk av råvarer                            </v>
          </cell>
          <cell r="S122" t="str">
            <v xml:space="preserve">Total  raw materials                              </v>
          </cell>
        </row>
        <row r="123">
          <cell r="Q123">
            <v>4200</v>
          </cell>
          <cell r="R123" t="str">
            <v xml:space="preserve">Produksjonskostnader TV/Film                      </v>
          </cell>
          <cell r="S123" t="str">
            <v xml:space="preserve">TV/Film production expenses                       </v>
          </cell>
        </row>
        <row r="124">
          <cell r="Q124">
            <v>5100</v>
          </cell>
          <cell r="R124" t="str">
            <v xml:space="preserve">Lønnskostnader                                    </v>
          </cell>
          <cell r="S124" t="str">
            <v xml:space="preserve">Wages and salary                                  </v>
          </cell>
        </row>
        <row r="125">
          <cell r="Q125">
            <v>5101</v>
          </cell>
          <cell r="R125" t="str">
            <v xml:space="preserve">Arbeidsgiveravgift                                </v>
          </cell>
          <cell r="S125" t="str">
            <v xml:space="preserve">Social security costs                             </v>
          </cell>
        </row>
        <row r="126">
          <cell r="Q126">
            <v>5102</v>
          </cell>
          <cell r="R126" t="str">
            <v xml:space="preserve">Pensjonskostnader                                 </v>
          </cell>
          <cell r="S126" t="str">
            <v xml:space="preserve">Pensions cost                                     </v>
          </cell>
        </row>
        <row r="127">
          <cell r="Q127">
            <v>5103</v>
          </cell>
          <cell r="R127" t="str">
            <v xml:space="preserve">Aksjebasert avlønning                             </v>
          </cell>
          <cell r="S127" t="str">
            <v xml:space="preserve">Share based payment                               </v>
          </cell>
        </row>
        <row r="128">
          <cell r="Q128">
            <v>5104</v>
          </cell>
          <cell r="R128" t="str">
            <v xml:space="preserve">Andre personalkostnader                           </v>
          </cell>
          <cell r="S128" t="str">
            <v xml:space="preserve">Other employee benefits                           </v>
          </cell>
        </row>
        <row r="129">
          <cell r="Q129">
            <v>5110</v>
          </cell>
          <cell r="R129" t="str">
            <v xml:space="preserve">Sum eksterne lønnskostnader                       </v>
          </cell>
          <cell r="S129" t="str">
            <v xml:space="preserve">Total external employee benefit expenses          </v>
          </cell>
        </row>
        <row r="130">
          <cell r="Q130">
            <v>5150</v>
          </cell>
          <cell r="R130" t="str">
            <v xml:space="preserve">Interne lønnskostnader                            </v>
          </cell>
          <cell r="S130" t="str">
            <v xml:space="preserve">IC employee benefit expenses                      </v>
          </cell>
        </row>
        <row r="131">
          <cell r="Q131">
            <v>5199</v>
          </cell>
          <cell r="R131" t="str">
            <v xml:space="preserve">Sum lønnskostnader                                </v>
          </cell>
          <cell r="S131" t="str">
            <v xml:space="preserve">Total employee benefit expenses                   </v>
          </cell>
        </row>
        <row r="132">
          <cell r="Q132">
            <v>6100</v>
          </cell>
          <cell r="R132" t="str">
            <v xml:space="preserve">Øvrige driftskostnader                            </v>
          </cell>
          <cell r="S132" t="str">
            <v xml:space="preserve">Other operating expenses                          </v>
          </cell>
        </row>
        <row r="133">
          <cell r="Q133">
            <v>6101</v>
          </cell>
          <cell r="R133" t="str">
            <v xml:space="preserve">Data- og lisenskostnader                          </v>
          </cell>
          <cell r="S133" t="str">
            <v xml:space="preserve">Computer and software licence costs               </v>
          </cell>
        </row>
        <row r="134">
          <cell r="Q134">
            <v>6102</v>
          </cell>
          <cell r="R134" t="str">
            <v xml:space="preserve">Honorarer for eksterne tjenester                  </v>
          </cell>
          <cell r="S134" t="str">
            <v xml:space="preserve">Fees for external services                        </v>
          </cell>
        </row>
        <row r="135">
          <cell r="Q135">
            <v>6103</v>
          </cell>
          <cell r="R135" t="str">
            <v xml:space="preserve">Husleie, vedlikehold og elektrisitet              </v>
          </cell>
          <cell r="S135" t="str">
            <v xml:space="preserve">Rental, maintenance costs and electricity         </v>
          </cell>
        </row>
        <row r="136">
          <cell r="Q136">
            <v>6105</v>
          </cell>
          <cell r="R136" t="str">
            <v xml:space="preserve">Kontorkostnader                                   </v>
          </cell>
          <cell r="S136" t="str">
            <v xml:space="preserve">Office expenses                                   </v>
          </cell>
        </row>
        <row r="137">
          <cell r="Q137">
            <v>6106</v>
          </cell>
          <cell r="R137" t="str">
            <v xml:space="preserve">Markedsføringskostnader                           </v>
          </cell>
          <cell r="S137" t="str">
            <v xml:space="preserve">Marketing cost                                    </v>
          </cell>
        </row>
        <row r="138">
          <cell r="Q138">
            <v>6107</v>
          </cell>
          <cell r="R138" t="str">
            <v xml:space="preserve">Provisjoner                                       </v>
          </cell>
          <cell r="S138" t="str">
            <v xml:space="preserve">Commission                                        </v>
          </cell>
        </row>
        <row r="139">
          <cell r="Q139">
            <v>6108</v>
          </cell>
          <cell r="R139" t="str">
            <v xml:space="preserve">Redaksjonelt stoff                                </v>
          </cell>
          <cell r="S139" t="str">
            <v xml:space="preserve">Editorial material                                </v>
          </cell>
        </row>
        <row r="140">
          <cell r="Q140">
            <v>6109</v>
          </cell>
          <cell r="R140" t="str">
            <v xml:space="preserve">Transport og møter                                </v>
          </cell>
          <cell r="S140" t="str">
            <v xml:space="preserve">Travel and meetings                               </v>
          </cell>
        </row>
        <row r="141">
          <cell r="Q141">
            <v>6110</v>
          </cell>
          <cell r="R141" t="str">
            <v xml:space="preserve">Tele, frakt og porto                              </v>
          </cell>
          <cell r="S141" t="str">
            <v xml:space="preserve">Telephone, freight and mail-expenses              </v>
          </cell>
        </row>
        <row r="142">
          <cell r="Q142">
            <v>6112</v>
          </cell>
          <cell r="R142" t="str">
            <v xml:space="preserve">Trykkerioppdrag / -entrepriser                    </v>
          </cell>
          <cell r="S142" t="str">
            <v xml:space="preserve">Print contracts                                   </v>
          </cell>
        </row>
        <row r="143">
          <cell r="Q143">
            <v>6113</v>
          </cell>
          <cell r="R143" t="str">
            <v xml:space="preserve">Tap ved salg av anleggmidler                      </v>
          </cell>
          <cell r="S143" t="str">
            <v xml:space="preserve">Loss on sale of fixed assets                      </v>
          </cell>
        </row>
        <row r="144">
          <cell r="Q144">
            <v>6114</v>
          </cell>
          <cell r="R144" t="str">
            <v xml:space="preserve">Kontingenter                                      </v>
          </cell>
          <cell r="S144" t="str">
            <v xml:space="preserve">Membership and subscription fee                   </v>
          </cell>
        </row>
        <row r="145">
          <cell r="Q145">
            <v>6115</v>
          </cell>
          <cell r="R145" t="str">
            <v xml:space="preserve">Forsikringer                                      </v>
          </cell>
          <cell r="S145" t="str">
            <v xml:space="preserve">Insurance cost                                    </v>
          </cell>
        </row>
        <row r="146">
          <cell r="Q146">
            <v>6116</v>
          </cell>
          <cell r="R146" t="str">
            <v xml:space="preserve">Nedskrivning av kundefordringer                   </v>
          </cell>
          <cell r="S146" t="str">
            <v xml:space="preserve">Write down accounts receivables                   </v>
          </cell>
        </row>
        <row r="147">
          <cell r="Q147">
            <v>6149</v>
          </cell>
          <cell r="R147" t="str">
            <v xml:space="preserve">Eksterne andre driftskostnader                    </v>
          </cell>
          <cell r="S147" t="str">
            <v xml:space="preserve">External other operating expenses                 </v>
          </cell>
        </row>
        <row r="148">
          <cell r="Q148">
            <v>6150</v>
          </cell>
          <cell r="R148" t="str">
            <v xml:space="preserve">Interne øvrige driftskostnader                    </v>
          </cell>
          <cell r="S148" t="str">
            <v xml:space="preserve">IC other operating expenses                       </v>
          </cell>
        </row>
        <row r="149">
          <cell r="Q149">
            <v>6199</v>
          </cell>
          <cell r="R149" t="str">
            <v xml:space="preserve">Sum øvrige driftskostnader                        </v>
          </cell>
          <cell r="S149" t="str">
            <v xml:space="preserve">Total other operating expenses                    </v>
          </cell>
        </row>
        <row r="150">
          <cell r="Q150">
            <v>6200</v>
          </cell>
          <cell r="R150" t="str">
            <v xml:space="preserve">Inntekt fra tilknyttede selskaper                 </v>
          </cell>
          <cell r="S150" t="str">
            <v xml:space="preserve">Income from associated companies                  </v>
          </cell>
        </row>
        <row r="151">
          <cell r="Q151">
            <v>6699</v>
          </cell>
          <cell r="R151" t="str">
            <v xml:space="preserve">Driftsresultat EBITDA                             </v>
          </cell>
          <cell r="S151" t="str">
            <v xml:space="preserve">Operating profit EBITDA                           </v>
          </cell>
        </row>
        <row r="152">
          <cell r="Q152">
            <v>7100</v>
          </cell>
          <cell r="R152" t="str">
            <v xml:space="preserve">Avskrivninger                                     </v>
          </cell>
          <cell r="S152" t="str">
            <v xml:space="preserve">Depreciation                                      </v>
          </cell>
        </row>
        <row r="153">
          <cell r="Q153">
            <v>7110</v>
          </cell>
          <cell r="R153" t="str">
            <v xml:space="preserve">Amortisering                                      </v>
          </cell>
          <cell r="S153" t="str">
            <v xml:space="preserve">Amortization                                      </v>
          </cell>
        </row>
        <row r="154">
          <cell r="Q154">
            <v>7150</v>
          </cell>
          <cell r="R154" t="str">
            <v xml:space="preserve">Nedskrivninger av goodwill                        </v>
          </cell>
          <cell r="S154" t="str">
            <v xml:space="preserve">Impairment of goodwill                            </v>
          </cell>
        </row>
        <row r="155">
          <cell r="Q155">
            <v>7151</v>
          </cell>
          <cell r="R155" t="str">
            <v xml:space="preserve">Nedskrivninger av immaterielle eiendeler          </v>
          </cell>
          <cell r="S155" t="str">
            <v xml:space="preserve">Impairment of other intangible assets             </v>
          </cell>
        </row>
        <row r="156">
          <cell r="Q156">
            <v>7152</v>
          </cell>
          <cell r="R156" t="str">
            <v xml:space="preserve">Nedskrivninger av anleggsmidler                   </v>
          </cell>
          <cell r="S156" t="str">
            <v xml:space="preserve">Impairment of fixed assets                        </v>
          </cell>
        </row>
        <row r="157">
          <cell r="Q157">
            <v>7155</v>
          </cell>
          <cell r="R157" t="str">
            <v xml:space="preserve">Goodwill &amp; immaterielle nedskrivninger            </v>
          </cell>
          <cell r="S157" t="str">
            <v xml:space="preserve">Goodwill &amp; intangeble write off                   </v>
          </cell>
        </row>
        <row r="158">
          <cell r="Q158">
            <v>7199</v>
          </cell>
          <cell r="R158" t="str">
            <v xml:space="preserve">Sum                                               </v>
          </cell>
          <cell r="S158" t="str">
            <v xml:space="preserve">Sum                                               </v>
          </cell>
        </row>
        <row r="159">
          <cell r="Q159">
            <v>7200</v>
          </cell>
          <cell r="R159" t="str">
            <v xml:space="preserve">Intern royalty                                    </v>
          </cell>
          <cell r="S159" t="str">
            <v xml:space="preserve">IC royalty                                        </v>
          </cell>
        </row>
        <row r="160">
          <cell r="Q160">
            <v>7300</v>
          </cell>
          <cell r="R160" t="str">
            <v xml:space="preserve">Andre inntekter                                   </v>
          </cell>
          <cell r="S160" t="str">
            <v xml:space="preserve">Other revenues                                    </v>
          </cell>
        </row>
        <row r="161">
          <cell r="Q161">
            <v>7350</v>
          </cell>
          <cell r="R161" t="str">
            <v xml:space="preserve">Andre kostnader                                   </v>
          </cell>
          <cell r="S161" t="str">
            <v xml:space="preserve">Other expenses                                    </v>
          </cell>
        </row>
        <row r="162">
          <cell r="Q162">
            <v>7900</v>
          </cell>
          <cell r="R162" t="str">
            <v xml:space="preserve">Sum driftskostnader                               </v>
          </cell>
          <cell r="S162" t="str">
            <v xml:space="preserve">Total operating expenses                          </v>
          </cell>
        </row>
        <row r="163">
          <cell r="Q163">
            <v>7950</v>
          </cell>
          <cell r="R163" t="str">
            <v xml:space="preserve">Driftsresultat EBITA                              </v>
          </cell>
          <cell r="S163" t="str">
            <v xml:space="preserve">Operating profit EBITA                            </v>
          </cell>
        </row>
        <row r="164">
          <cell r="Q164">
            <v>7999</v>
          </cell>
          <cell r="R164" t="str">
            <v xml:space="preserve">Driftsresultat                                    </v>
          </cell>
          <cell r="S164" t="str">
            <v xml:space="preserve">Operating profit                                  </v>
          </cell>
        </row>
        <row r="165">
          <cell r="Q165">
            <v>8100</v>
          </cell>
          <cell r="R165" t="str">
            <v xml:space="preserve">Renteinntekter                                    </v>
          </cell>
          <cell r="S165" t="str">
            <v xml:space="preserve">Interest revenues                                 </v>
          </cell>
        </row>
        <row r="166">
          <cell r="Q166">
            <v>8120</v>
          </cell>
          <cell r="R166" t="str">
            <v xml:space="preserve">Netto renter cash pool Danske Bank                </v>
          </cell>
          <cell r="S166" t="str">
            <v xml:space="preserve">Net interest cash pool Danske Bank                </v>
          </cell>
        </row>
        <row r="167">
          <cell r="Q167">
            <v>8150</v>
          </cell>
          <cell r="R167" t="str">
            <v xml:space="preserve">Interne renteinntekter                            </v>
          </cell>
          <cell r="S167" t="str">
            <v xml:space="preserve">IC interest revenues                              </v>
          </cell>
        </row>
        <row r="168">
          <cell r="Q168">
            <v>8199</v>
          </cell>
          <cell r="R168" t="str">
            <v xml:space="preserve">Sum renteinntekter                                </v>
          </cell>
          <cell r="S168" t="str">
            <v xml:space="preserve">Total interest revenues                           </v>
          </cell>
        </row>
        <row r="169">
          <cell r="Q169">
            <v>8200</v>
          </cell>
          <cell r="R169" t="str">
            <v xml:space="preserve">Andre finansinntekter                             </v>
          </cell>
          <cell r="S169" t="str">
            <v xml:space="preserve">Other financial income                            </v>
          </cell>
        </row>
        <row r="170">
          <cell r="Q170">
            <v>8201</v>
          </cell>
          <cell r="R170" t="str">
            <v xml:space="preserve">Valutagevinst (agio)                              </v>
          </cell>
          <cell r="S170" t="str">
            <v xml:space="preserve">Foreign exchange gain (agio)                      </v>
          </cell>
        </row>
        <row r="171">
          <cell r="Q171">
            <v>8202</v>
          </cell>
          <cell r="R171" t="str">
            <v xml:space="preserve">Gevinst ved salg av aksjer                        </v>
          </cell>
          <cell r="S171" t="str">
            <v xml:space="preserve">Gain on sale of shares                            </v>
          </cell>
        </row>
        <row r="172">
          <cell r="Q172">
            <v>8203</v>
          </cell>
          <cell r="R172" t="str">
            <v xml:space="preserve">Grunnfondsbevis                                   </v>
          </cell>
          <cell r="S172" t="str">
            <v xml:space="preserve">Primary capital certificate                       </v>
          </cell>
        </row>
        <row r="173">
          <cell r="Q173">
            <v>8204</v>
          </cell>
          <cell r="R173" t="str">
            <v xml:space="preserve">Mottatt utbytte fra konsernselskap                </v>
          </cell>
          <cell r="S173" t="str">
            <v xml:space="preserve">Dividend received from group companies            </v>
          </cell>
        </row>
        <row r="174">
          <cell r="Q174">
            <v>8205</v>
          </cell>
          <cell r="R174" t="str">
            <v xml:space="preserve">Mottatt utbytte fra andre selskap                 </v>
          </cell>
          <cell r="S174" t="str">
            <v xml:space="preserve">Dividend received from other companies            </v>
          </cell>
        </row>
        <row r="175">
          <cell r="Q175">
            <v>8206</v>
          </cell>
          <cell r="R175" t="str">
            <v xml:space="preserve">Virkelig verdi justering finansielle instrumenter </v>
          </cell>
          <cell r="S175" t="str">
            <v xml:space="preserve">Fair value adjustments financial instruments      </v>
          </cell>
        </row>
        <row r="176">
          <cell r="Q176">
            <v>8207</v>
          </cell>
          <cell r="R176" t="str">
            <v xml:space="preserve">Konsernbidrag                                     </v>
          </cell>
          <cell r="S176" t="str">
            <v xml:space="preserve">Group contribution                                </v>
          </cell>
        </row>
        <row r="177">
          <cell r="Q177">
            <v>8250</v>
          </cell>
          <cell r="R177" t="str">
            <v xml:space="preserve">Sum Finansinntekter                               </v>
          </cell>
          <cell r="S177" t="str">
            <v xml:space="preserve">Total Financial Income                            </v>
          </cell>
        </row>
        <row r="178">
          <cell r="Q178">
            <v>8300</v>
          </cell>
          <cell r="R178" t="str">
            <v xml:space="preserve">Rentekostnader                                    </v>
          </cell>
          <cell r="S178" t="str">
            <v xml:space="preserve">Interest expenses                                 </v>
          </cell>
        </row>
        <row r="179">
          <cell r="Q179">
            <v>8350</v>
          </cell>
          <cell r="R179" t="str">
            <v xml:space="preserve">Interne rentekostnader                            </v>
          </cell>
          <cell r="S179" t="str">
            <v xml:space="preserve">IC interest expenses                              </v>
          </cell>
        </row>
        <row r="180">
          <cell r="Q180">
            <v>8399</v>
          </cell>
          <cell r="R180" t="str">
            <v xml:space="preserve">Sum rentekostnader                                </v>
          </cell>
          <cell r="S180" t="str">
            <v xml:space="preserve">Total interest expenses                           </v>
          </cell>
        </row>
        <row r="181">
          <cell r="Q181">
            <v>8400</v>
          </cell>
          <cell r="R181" t="str">
            <v xml:space="preserve">Andre finanskostnader                             </v>
          </cell>
          <cell r="S181" t="str">
            <v xml:space="preserve">Other financial expenses                          </v>
          </cell>
        </row>
        <row r="182">
          <cell r="Q182">
            <v>8401</v>
          </cell>
          <cell r="R182" t="str">
            <v xml:space="preserve">Valutatap (disagio)                               </v>
          </cell>
          <cell r="S182" t="str">
            <v xml:space="preserve">Foreign exchange loss (disagio)                   </v>
          </cell>
        </row>
        <row r="183">
          <cell r="Q183">
            <v>8402</v>
          </cell>
          <cell r="R183" t="str">
            <v xml:space="preserve">Tap ved salg av aksjer                            </v>
          </cell>
          <cell r="S183" t="str">
            <v xml:space="preserve">Loss on sale of shares                            </v>
          </cell>
        </row>
        <row r="184">
          <cell r="Q184">
            <v>8403</v>
          </cell>
          <cell r="R184" t="str">
            <v xml:space="preserve">Nedskrivninger øvrige finansielle eiendeler       </v>
          </cell>
          <cell r="S184" t="str">
            <v xml:space="preserve">Impairment other financial assets                 </v>
          </cell>
        </row>
        <row r="185">
          <cell r="Q185">
            <v>8450</v>
          </cell>
          <cell r="R185" t="str">
            <v xml:space="preserve">Sum Finanskostnader                               </v>
          </cell>
          <cell r="S185" t="str">
            <v xml:space="preserve">Total Financial Expense                           </v>
          </cell>
        </row>
        <row r="186">
          <cell r="Q186">
            <v>8800</v>
          </cell>
          <cell r="R186" t="str">
            <v xml:space="preserve">Inntekt fra tilknyttede selskaper                 </v>
          </cell>
          <cell r="S186" t="str">
            <v xml:space="preserve">Income from associated companies                  </v>
          </cell>
        </row>
        <row r="187">
          <cell r="Q187">
            <v>8900</v>
          </cell>
          <cell r="R187" t="str">
            <v xml:space="preserve">Finansresultat                                    </v>
          </cell>
          <cell r="S187" t="str">
            <v xml:space="preserve">Net financial items                               </v>
          </cell>
        </row>
        <row r="188">
          <cell r="Q188">
            <v>8990</v>
          </cell>
          <cell r="R188" t="str">
            <v xml:space="preserve">Interne overførseler (ikke i bruk)                </v>
          </cell>
          <cell r="S188" t="str">
            <v xml:space="preserve">IC transactions (not in use)                      </v>
          </cell>
        </row>
        <row r="189">
          <cell r="Q189">
            <v>8999</v>
          </cell>
          <cell r="R189" t="str">
            <v xml:space="preserve">Ordinært resultat før skatt                       </v>
          </cell>
          <cell r="S189" t="str">
            <v xml:space="preserve">Ordinary pre-tax profit/loss                      </v>
          </cell>
        </row>
        <row r="190">
          <cell r="Q190">
            <v>9400</v>
          </cell>
          <cell r="R190" t="str">
            <v xml:space="preserve">Årsavslutningsdisposisjoner (S GAAP)              </v>
          </cell>
          <cell r="S190" t="str">
            <v xml:space="preserve">Year end disposal (S GAAP)                        </v>
          </cell>
        </row>
        <row r="191">
          <cell r="Q191">
            <v>9500</v>
          </cell>
          <cell r="R191" t="str">
            <v xml:space="preserve">Skattekostnad på ordinært resultat                </v>
          </cell>
          <cell r="S191" t="str">
            <v xml:space="preserve">Taxes from ordinary profit                        </v>
          </cell>
        </row>
        <row r="192">
          <cell r="Q192">
            <v>9501</v>
          </cell>
          <cell r="R192" t="str">
            <v xml:space="preserve">Netto endring utsatt skatt                        </v>
          </cell>
          <cell r="S192" t="str">
            <v xml:space="preserve">Net change deferred tax                           </v>
          </cell>
        </row>
        <row r="193">
          <cell r="Q193">
            <v>9510</v>
          </cell>
          <cell r="R193" t="str">
            <v xml:space="preserve">Sum skattekostnad                                 </v>
          </cell>
          <cell r="S193" t="str">
            <v xml:space="preserve">Total tax                                         </v>
          </cell>
        </row>
        <row r="194">
          <cell r="Q194">
            <v>9600</v>
          </cell>
          <cell r="R194" t="str">
            <v xml:space="preserve">Ordinært resultat                                 </v>
          </cell>
          <cell r="S194" t="str">
            <v xml:space="preserve">Ordinary profit/loss                              </v>
          </cell>
        </row>
        <row r="195">
          <cell r="Q195">
            <v>9610</v>
          </cell>
          <cell r="R195" t="str">
            <v xml:space="preserve">Ekstraordinær inntekt                             </v>
          </cell>
          <cell r="S195" t="str">
            <v xml:space="preserve">Extraordinary income                              </v>
          </cell>
        </row>
        <row r="196">
          <cell r="Q196">
            <v>9620</v>
          </cell>
          <cell r="R196" t="str">
            <v xml:space="preserve">Ekstraordinær kostnad                             </v>
          </cell>
          <cell r="S196" t="str">
            <v xml:space="preserve">Extraordinary expenses                            </v>
          </cell>
        </row>
        <row r="197">
          <cell r="Q197">
            <v>9630</v>
          </cell>
          <cell r="R197" t="str">
            <v xml:space="preserve">Skattekostnad på ekstraord. resultat              </v>
          </cell>
          <cell r="S197" t="str">
            <v xml:space="preserve">Taxes from extraordinary profit                   </v>
          </cell>
        </row>
        <row r="198">
          <cell r="Q198">
            <v>9699</v>
          </cell>
          <cell r="R198" t="str">
            <v xml:space="preserve">Resultat før minoritetsinteresser                 </v>
          </cell>
          <cell r="S198" t="str">
            <v xml:space="preserve">Pre-minority profit/loss                          </v>
          </cell>
        </row>
        <row r="199">
          <cell r="Q199">
            <v>9700</v>
          </cell>
          <cell r="R199" t="str">
            <v xml:space="preserve">Minoritetsinteresser                              </v>
          </cell>
          <cell r="S199" t="str">
            <v xml:space="preserve">Minority interest                                 </v>
          </cell>
        </row>
        <row r="200">
          <cell r="Q200">
            <v>9800</v>
          </cell>
          <cell r="R200" t="str">
            <v xml:space="preserve">Resultat etter minoritetsinteresser               </v>
          </cell>
          <cell r="S200" t="str">
            <v xml:space="preserve">Profit/loss after minority                        </v>
          </cell>
        </row>
        <row r="201">
          <cell r="Q201">
            <v>9900</v>
          </cell>
          <cell r="R201" t="str">
            <v xml:space="preserve">Utbytte/konsernbidrag                             </v>
          </cell>
          <cell r="S201" t="str">
            <v xml:space="preserve">Dividend/group contribution                       </v>
          </cell>
        </row>
        <row r="202">
          <cell r="Q202">
            <v>9999</v>
          </cell>
          <cell r="R202" t="str">
            <v xml:space="preserve">Periodens resultat                                </v>
          </cell>
          <cell r="S202" t="str">
            <v xml:space="preserve">Net profit/loss                                   </v>
          </cell>
        </row>
        <row r="203">
          <cell r="Q203">
            <v>99990</v>
          </cell>
          <cell r="R203" t="str">
            <v xml:space="preserve">Disponering av Årets resultat                     </v>
          </cell>
          <cell r="S203" t="str">
            <v xml:space="preserve">Disposal                                          </v>
          </cell>
        </row>
        <row r="204">
          <cell r="Q204">
            <v>99999</v>
          </cell>
          <cell r="R204" t="str">
            <v xml:space="preserve">Periodens resultat efter disposition              </v>
          </cell>
          <cell r="S204" t="str">
            <v xml:space="preserve">Net profit after disposal                         </v>
          </cell>
        </row>
        <row r="205">
          <cell r="Q205" t="str">
            <v>0R3451</v>
          </cell>
          <cell r="R205" t="str">
            <v xml:space="preserve">Statlige bidrag                                   </v>
          </cell>
          <cell r="S205" t="str">
            <v xml:space="preserve">Govermental contribution                          </v>
          </cell>
        </row>
        <row r="206">
          <cell r="Q206" t="str">
            <v>A1101</v>
          </cell>
          <cell r="R206" t="str">
            <v xml:space="preserve">avis 1                                            </v>
          </cell>
          <cell r="S206" t="str">
            <v xml:space="preserve">avis 1                                            </v>
          </cell>
        </row>
        <row r="207">
          <cell r="Q207" t="str">
            <v>A1201</v>
          </cell>
          <cell r="R207" t="str">
            <v xml:space="preserve">avis 1 - annonsevolum                             </v>
          </cell>
          <cell r="S207" t="str">
            <v xml:space="preserve">avis 1 - annonsevolum                             </v>
          </cell>
        </row>
        <row r="208">
          <cell r="Q208" t="str">
            <v>AF101</v>
          </cell>
          <cell r="R208" t="str">
            <v xml:space="preserve">Aftonbladet, hverdager                            </v>
          </cell>
          <cell r="S208" t="str">
            <v xml:space="preserve">Aftonbladet, hverdager                            </v>
          </cell>
        </row>
        <row r="209">
          <cell r="Q209" t="str">
            <v>AF102</v>
          </cell>
          <cell r="R209" t="str">
            <v xml:space="preserve">Aftonbladet, søndag                               </v>
          </cell>
          <cell r="S209" t="str">
            <v xml:space="preserve">Aftonbladet, søndag                               </v>
          </cell>
        </row>
        <row r="210">
          <cell r="Q210" t="str">
            <v>AF201</v>
          </cell>
          <cell r="R210" t="str">
            <v xml:space="preserve">Aftonbladet - annonsevolum                        </v>
          </cell>
          <cell r="S210" t="str">
            <v xml:space="preserve">Aftonbladet - annonsevolum                        </v>
          </cell>
        </row>
        <row r="211">
          <cell r="Q211" t="str">
            <v>ANTAK</v>
          </cell>
          <cell r="R211" t="str">
            <v xml:space="preserve">Antall aksjer                                     </v>
          </cell>
          <cell r="S211" t="str">
            <v xml:space="preserve">Number of shares                                  </v>
          </cell>
        </row>
        <row r="212">
          <cell r="Q212" t="str">
            <v>AP101</v>
          </cell>
          <cell r="R212" t="str">
            <v xml:space="preserve">Aftenposten morgen, hverdager                     </v>
          </cell>
          <cell r="S212" t="str">
            <v xml:space="preserve">Aftenposten morgen, hverdager                     </v>
          </cell>
        </row>
        <row r="213">
          <cell r="Q213" t="str">
            <v>AP102</v>
          </cell>
          <cell r="R213" t="str">
            <v xml:space="preserve">Aftenposten Aften, hverdager                      </v>
          </cell>
          <cell r="S213" t="str">
            <v xml:space="preserve">Aftenposten Aften, hverdager                      </v>
          </cell>
        </row>
        <row r="214">
          <cell r="Q214" t="str">
            <v>AP103</v>
          </cell>
          <cell r="R214" t="str">
            <v xml:space="preserve">Aftenposten, søndag                               </v>
          </cell>
          <cell r="S214" t="str">
            <v xml:space="preserve">Aftenposten, søndag                               </v>
          </cell>
        </row>
        <row r="215">
          <cell r="Q215" t="str">
            <v>AP201</v>
          </cell>
          <cell r="R215" t="str">
            <v xml:space="preserve">Aftenposten - annonsevolum                        </v>
          </cell>
          <cell r="S215" t="str">
            <v xml:space="preserve">Aftenposten - annonsevolum                        </v>
          </cell>
        </row>
        <row r="216">
          <cell r="Q216" t="str">
            <v>AU100</v>
          </cell>
          <cell r="R216" t="str">
            <v xml:space="preserve">Lovpålagt revisjon                                </v>
          </cell>
          <cell r="S216" t="str">
            <v xml:space="preserve">Statutory audit                                   </v>
          </cell>
        </row>
        <row r="217">
          <cell r="Q217" t="str">
            <v>AU101</v>
          </cell>
          <cell r="R217" t="str">
            <v xml:space="preserve">Andre attestasjonstjenester                       </v>
          </cell>
          <cell r="S217" t="str">
            <v xml:space="preserve">Other confirmations                               </v>
          </cell>
        </row>
        <row r="218">
          <cell r="Q218" t="str">
            <v>AU102</v>
          </cell>
          <cell r="R218" t="str">
            <v xml:space="preserve">Skatte og avgiftsrådgivning                       </v>
          </cell>
          <cell r="S218" t="str">
            <v xml:space="preserve">Tax assistance                                    </v>
          </cell>
        </row>
        <row r="219">
          <cell r="Q219" t="str">
            <v>AU103</v>
          </cell>
          <cell r="R219" t="str">
            <v xml:space="preserve">Andre tjenester utenfor revisjon                  </v>
          </cell>
          <cell r="S219" t="str">
            <v xml:space="preserve">Other services                                    </v>
          </cell>
        </row>
        <row r="220">
          <cell r="Q220" t="str">
            <v>AU109</v>
          </cell>
          <cell r="R220" t="str">
            <v xml:space="preserve">Totalt revisjonshonorar                           </v>
          </cell>
          <cell r="S220" t="str">
            <v xml:space="preserve">Total auditors fee                                </v>
          </cell>
        </row>
        <row r="221">
          <cell r="Q221" t="str">
            <v>AU110</v>
          </cell>
          <cell r="R221" t="str">
            <v xml:space="preserve">Lovpålagt revisjon                                </v>
          </cell>
          <cell r="S221" t="str">
            <v xml:space="preserve">Statutory audit                                   </v>
          </cell>
        </row>
        <row r="222">
          <cell r="Q222" t="str">
            <v>AU111</v>
          </cell>
          <cell r="R222" t="str">
            <v xml:space="preserve">Andre attestasjonstjenester                       </v>
          </cell>
          <cell r="S222" t="str">
            <v xml:space="preserve">Other confirmations                               </v>
          </cell>
        </row>
        <row r="223">
          <cell r="Q223" t="str">
            <v>AU112</v>
          </cell>
          <cell r="R223" t="str">
            <v xml:space="preserve">Skatte og avgiftsrådgivning                       </v>
          </cell>
          <cell r="S223" t="str">
            <v xml:space="preserve">Tax assistance                                    </v>
          </cell>
        </row>
        <row r="224">
          <cell r="Q224" t="str">
            <v>AU113</v>
          </cell>
          <cell r="R224" t="str">
            <v xml:space="preserve">Andre tjenester utenfor revisjon                  </v>
          </cell>
          <cell r="S224" t="str">
            <v xml:space="preserve">Other services                                    </v>
          </cell>
        </row>
        <row r="225">
          <cell r="Q225" t="str">
            <v>AU119</v>
          </cell>
          <cell r="R225" t="str">
            <v xml:space="preserve">Totalt revisjonshonorar                           </v>
          </cell>
          <cell r="S225" t="str">
            <v xml:space="preserve">Total auditors fee                                </v>
          </cell>
        </row>
        <row r="226">
          <cell r="Q226" t="str">
            <v>AU120</v>
          </cell>
          <cell r="R226" t="str">
            <v xml:space="preserve">Totalt revisjonshonorar                           </v>
          </cell>
          <cell r="S226" t="str">
            <v xml:space="preserve">Total auditors fee                                </v>
          </cell>
        </row>
        <row r="227">
          <cell r="Q227" t="str">
            <v>AU200</v>
          </cell>
          <cell r="R227" t="str">
            <v xml:space="preserve">Lovpålagt revisjon - E&amp;Y                          </v>
          </cell>
          <cell r="S227" t="str">
            <v xml:space="preserve">Statutory audit - E&amp;Y                             </v>
          </cell>
        </row>
        <row r="228">
          <cell r="Q228" t="str">
            <v>AU210</v>
          </cell>
          <cell r="R228" t="str">
            <v xml:space="preserve">Lovpålagt revisjon - andre                        </v>
          </cell>
          <cell r="S228" t="str">
            <v xml:space="preserve">Statutory audit  - other                          </v>
          </cell>
        </row>
        <row r="229">
          <cell r="Q229" t="str">
            <v>AU220</v>
          </cell>
          <cell r="R229" t="str">
            <v xml:space="preserve">Totalt revisjonshonorar                           </v>
          </cell>
          <cell r="S229" t="str">
            <v xml:space="preserve">Total auditors fee                                </v>
          </cell>
        </row>
        <row r="230">
          <cell r="Q230" t="str">
            <v>BE1000</v>
          </cell>
          <cell r="R230" t="str">
            <v xml:space="preserve">Funksjonærer                                      </v>
          </cell>
          <cell r="S230" t="str">
            <v xml:space="preserve">Office workers                                    </v>
          </cell>
        </row>
        <row r="231">
          <cell r="Q231" t="str">
            <v>BE1001</v>
          </cell>
          <cell r="R231" t="str">
            <v xml:space="preserve">Journalister                                      </v>
          </cell>
          <cell r="S231" t="str">
            <v xml:space="preserve">Journalists                                       </v>
          </cell>
        </row>
        <row r="232">
          <cell r="Q232" t="str">
            <v>BE1002</v>
          </cell>
          <cell r="R232" t="str">
            <v xml:space="preserve">Grafisk personale                                 </v>
          </cell>
          <cell r="S232" t="str">
            <v xml:space="preserve">Typesetters                                       </v>
          </cell>
        </row>
        <row r="233">
          <cell r="Q233" t="str">
            <v>BE1003</v>
          </cell>
          <cell r="R233" t="str">
            <v xml:space="preserve">Ledelse                                           </v>
          </cell>
          <cell r="S233" t="str">
            <v xml:space="preserve">Management                                        </v>
          </cell>
        </row>
        <row r="234">
          <cell r="Q234" t="str">
            <v>BE1004</v>
          </cell>
          <cell r="R234" t="str">
            <v xml:space="preserve">Prosjektansatte                                   </v>
          </cell>
          <cell r="S234" t="str">
            <v xml:space="preserve">Project workers                                   </v>
          </cell>
        </row>
        <row r="235">
          <cell r="Q235" t="str">
            <v>BE1005</v>
          </cell>
          <cell r="R235" t="str">
            <v xml:space="preserve">Øvrige                                            </v>
          </cell>
          <cell r="S235" t="str">
            <v xml:space="preserve">Other                                             </v>
          </cell>
        </row>
        <row r="236">
          <cell r="Q236" t="str">
            <v>BE1006</v>
          </cell>
          <cell r="R236" t="str">
            <v xml:space="preserve">Kvinner                                           </v>
          </cell>
          <cell r="S236" t="str">
            <v xml:space="preserve">Women                                             </v>
          </cell>
        </row>
        <row r="237">
          <cell r="Q237" t="str">
            <v>BE1007</v>
          </cell>
          <cell r="R237" t="str">
            <v xml:space="preserve">Menn                                              </v>
          </cell>
          <cell r="S237" t="str">
            <v xml:space="preserve">Men                                               </v>
          </cell>
        </row>
        <row r="238">
          <cell r="Q238" t="str">
            <v>BE1010</v>
          </cell>
          <cell r="R238" t="str">
            <v xml:space="preserve">Sum antall ansatte                                </v>
          </cell>
          <cell r="S238" t="str">
            <v xml:space="preserve">Total number of employees                         </v>
          </cell>
        </row>
        <row r="239">
          <cell r="Q239" t="str">
            <v>BE1011</v>
          </cell>
          <cell r="R239" t="str">
            <v xml:space="preserve">Kvinner                                           </v>
          </cell>
          <cell r="S239" t="str">
            <v xml:space="preserve">Women                                             </v>
          </cell>
        </row>
        <row r="240">
          <cell r="Q240" t="str">
            <v>BE1012</v>
          </cell>
          <cell r="R240" t="str">
            <v xml:space="preserve">Menn                                              </v>
          </cell>
          <cell r="S240" t="str">
            <v xml:space="preserve">Men                                               </v>
          </cell>
        </row>
        <row r="241">
          <cell r="Q241" t="str">
            <v>BE1015</v>
          </cell>
          <cell r="R241" t="str">
            <v xml:space="preserve">Sum antall årsverk                                </v>
          </cell>
          <cell r="S241" t="str">
            <v xml:space="preserve">Total number of man labour years                  </v>
          </cell>
        </row>
        <row r="242">
          <cell r="Q242" t="str">
            <v>BE1016</v>
          </cell>
          <cell r="R242" t="str">
            <v xml:space="preserve">Ledelse                                           </v>
          </cell>
          <cell r="S242" t="str">
            <v xml:space="preserve">Management                                        </v>
          </cell>
        </row>
        <row r="243">
          <cell r="Q243" t="str">
            <v>BE1017</v>
          </cell>
          <cell r="R243" t="str">
            <v xml:space="preserve">Prosjektansatte                                   </v>
          </cell>
          <cell r="S243" t="str">
            <v xml:space="preserve">Project workers                                   </v>
          </cell>
        </row>
        <row r="244">
          <cell r="Q244" t="str">
            <v>BE1018</v>
          </cell>
          <cell r="R244" t="str">
            <v xml:space="preserve">Avisbud                                           </v>
          </cell>
          <cell r="S244" t="str">
            <v xml:space="preserve">Newspaper delivey                                 </v>
          </cell>
        </row>
        <row r="245">
          <cell r="Q245" t="str">
            <v>BE1019</v>
          </cell>
          <cell r="R245" t="str">
            <v xml:space="preserve">Øvrige                                            </v>
          </cell>
          <cell r="S245" t="str">
            <v xml:space="preserve">Other                                             </v>
          </cell>
        </row>
        <row r="246">
          <cell r="Q246" t="str">
            <v>BE1020</v>
          </cell>
          <cell r="R246" t="str">
            <v xml:space="preserve">Sum antall ansatte                                </v>
          </cell>
          <cell r="S246" t="str">
            <v xml:space="preserve">Total number of employees                         </v>
          </cell>
        </row>
        <row r="247">
          <cell r="Q247" t="str">
            <v>BE1099</v>
          </cell>
          <cell r="R247" t="str">
            <v xml:space="preserve">Sum antall ansatte                                </v>
          </cell>
          <cell r="S247" t="str">
            <v xml:space="preserve">Total number of employees                         </v>
          </cell>
        </row>
        <row r="248">
          <cell r="Q248" t="str">
            <v>CALC010</v>
          </cell>
          <cell r="R248" t="str">
            <v xml:space="preserve">Driftsmargin                                      </v>
          </cell>
          <cell r="S248" t="str">
            <v xml:space="preserve">Operating margin                                  </v>
          </cell>
        </row>
        <row r="249">
          <cell r="Q249" t="str">
            <v>CALC011</v>
          </cell>
          <cell r="R249" t="str">
            <v xml:space="preserve">Fortjenestemargin                                 </v>
          </cell>
          <cell r="S249" t="str">
            <v xml:space="preserve">Profit ratio                                      </v>
          </cell>
        </row>
        <row r="250">
          <cell r="Q250" t="str">
            <v>CALC020</v>
          </cell>
          <cell r="R250" t="str">
            <v xml:space="preserve">Egenkapitalandel                                  </v>
          </cell>
          <cell r="S250" t="str">
            <v xml:space="preserve">Equity ratio                                      </v>
          </cell>
        </row>
        <row r="251">
          <cell r="Q251" t="str">
            <v>CALC021</v>
          </cell>
          <cell r="R251" t="str">
            <v xml:space="preserve">Egenkapitalrentabilitet                           </v>
          </cell>
          <cell r="S251" t="str">
            <v xml:space="preserve">Return on equity                                  </v>
          </cell>
        </row>
        <row r="252">
          <cell r="Q252" t="str">
            <v>CALC022</v>
          </cell>
          <cell r="R252" t="str">
            <v xml:space="preserve">Totalkapitalrentabilitet                          </v>
          </cell>
          <cell r="S252" t="str">
            <v xml:space="preserve">Return on total assets                            </v>
          </cell>
        </row>
        <row r="253">
          <cell r="Q253" t="str">
            <v>CALC030</v>
          </cell>
          <cell r="R253" t="str">
            <v xml:space="preserve">Likviditetsgrad                                   </v>
          </cell>
          <cell r="S253" t="str">
            <v xml:space="preserve">Current ratio                                     </v>
          </cell>
        </row>
        <row r="254">
          <cell r="Q254" t="str">
            <v>CALC031</v>
          </cell>
          <cell r="R254" t="str">
            <v xml:space="preserve">EPS                                               </v>
          </cell>
          <cell r="S254" t="str">
            <v xml:space="preserve">EPS                                               </v>
          </cell>
        </row>
        <row r="255">
          <cell r="Q255" t="str">
            <v>CALC032</v>
          </cell>
          <cell r="R255" t="str">
            <v xml:space="preserve">Cash flow                                         </v>
          </cell>
          <cell r="S255" t="str">
            <v xml:space="preserve">Cash flow                                         </v>
          </cell>
        </row>
        <row r="256">
          <cell r="Q256" t="str">
            <v>CALC110</v>
          </cell>
          <cell r="R256" t="str">
            <v xml:space="preserve">Driftsmargin - Avis                               </v>
          </cell>
          <cell r="S256" t="str">
            <v xml:space="preserve">Operating margin - Avis                           </v>
          </cell>
        </row>
        <row r="257">
          <cell r="Q257" t="str">
            <v>CALC111</v>
          </cell>
          <cell r="R257" t="str">
            <v xml:space="preserve">Fortjenestemargin - Avis                          </v>
          </cell>
          <cell r="S257" t="str">
            <v xml:space="preserve">Profit ratio - Avis                               </v>
          </cell>
        </row>
        <row r="258">
          <cell r="Q258" t="str">
            <v>CALC122</v>
          </cell>
          <cell r="R258" t="str">
            <v xml:space="preserve">Totalkapitalrentabilitet - Avis                   </v>
          </cell>
          <cell r="S258" t="str">
            <v xml:space="preserve">Return on total assets - Avis                     </v>
          </cell>
        </row>
        <row r="259">
          <cell r="Q259" t="str">
            <v>CALC210</v>
          </cell>
          <cell r="R259" t="str">
            <v xml:space="preserve">Driftsmargin - TV/FILM                            </v>
          </cell>
          <cell r="S259" t="str">
            <v xml:space="preserve">Operating margin - TV/FILM                        </v>
          </cell>
        </row>
        <row r="260">
          <cell r="Q260" t="str">
            <v>CALC310</v>
          </cell>
          <cell r="R260" t="str">
            <v xml:space="preserve">Driftsmargin - MULTIMEDIA                         </v>
          </cell>
          <cell r="S260" t="str">
            <v xml:space="preserve">Operating margin - MULTIMEDIA                     </v>
          </cell>
        </row>
        <row r="261">
          <cell r="Q261" t="str">
            <v>CF170101</v>
          </cell>
          <cell r="R261" t="str">
            <v xml:space="preserve">Fra operasjonelle aktiviteter                     </v>
          </cell>
          <cell r="S261" t="str">
            <v xml:space="preserve">From operating activities                         </v>
          </cell>
        </row>
        <row r="262">
          <cell r="Q262" t="str">
            <v>CF170102</v>
          </cell>
          <cell r="R262" t="str">
            <v xml:space="preserve">Fra investeringsaktiviteter                       </v>
          </cell>
          <cell r="S262" t="str">
            <v xml:space="preserve">From investing activities                         </v>
          </cell>
        </row>
        <row r="263">
          <cell r="Q263" t="str">
            <v>CF170103</v>
          </cell>
          <cell r="R263" t="str">
            <v xml:space="preserve">Fra finansieringsaktiviteter                      </v>
          </cell>
          <cell r="S263" t="str">
            <v xml:space="preserve">From financing activities                         </v>
          </cell>
        </row>
        <row r="264">
          <cell r="Q264" t="str">
            <v>CF170149</v>
          </cell>
          <cell r="R264" t="str">
            <v xml:space="preserve">Sum innbetalinger                                 </v>
          </cell>
          <cell r="S264" t="str">
            <v xml:space="preserve">Total proceeds                                    </v>
          </cell>
        </row>
        <row r="265">
          <cell r="Q265" t="str">
            <v>CF170151</v>
          </cell>
          <cell r="R265" t="str">
            <v xml:space="preserve">Til operasjonelle aktiviteter                     </v>
          </cell>
          <cell r="S265" t="str">
            <v xml:space="preserve">To operating activities                           </v>
          </cell>
        </row>
        <row r="266">
          <cell r="Q266" t="str">
            <v>CF170152</v>
          </cell>
          <cell r="R266" t="str">
            <v xml:space="preserve">Til investeringsaktiviteter                       </v>
          </cell>
          <cell r="S266" t="str">
            <v xml:space="preserve">To investing activities                           </v>
          </cell>
        </row>
        <row r="267">
          <cell r="Q267" t="str">
            <v>CF170153</v>
          </cell>
          <cell r="R267" t="str">
            <v xml:space="preserve">Til finansieringsaktivitetet                      </v>
          </cell>
          <cell r="S267" t="str">
            <v xml:space="preserve">To financing activities                           </v>
          </cell>
        </row>
        <row r="268">
          <cell r="Q268" t="str">
            <v>CF170199</v>
          </cell>
          <cell r="R268" t="str">
            <v xml:space="preserve">Sum utbetalinger                                  </v>
          </cell>
          <cell r="S268" t="str">
            <v xml:space="preserve">Total purchase                                    </v>
          </cell>
        </row>
        <row r="269">
          <cell r="Q269" t="str">
            <v>CF1701CB</v>
          </cell>
          <cell r="R269" t="str">
            <v xml:space="preserve">UB bank                                           </v>
          </cell>
          <cell r="S269" t="str">
            <v xml:space="preserve">CB cash deposit                                   </v>
          </cell>
        </row>
        <row r="270">
          <cell r="Q270" t="str">
            <v>CF1701OB</v>
          </cell>
          <cell r="R270" t="str">
            <v xml:space="preserve">IB bank                                           </v>
          </cell>
          <cell r="S270" t="str">
            <v xml:space="preserve">OB cash deposit                                   </v>
          </cell>
        </row>
        <row r="271">
          <cell r="Q271" t="str">
            <v>CF170200</v>
          </cell>
          <cell r="R271" t="str">
            <v xml:space="preserve">Netto likv.endring                                </v>
          </cell>
          <cell r="S271" t="str">
            <v xml:space="preserve">Net increase/decrease                             </v>
          </cell>
        </row>
        <row r="272">
          <cell r="Q272" t="str">
            <v>E2100</v>
          </cell>
          <cell r="R272" t="str">
            <v xml:space="preserve">Selskapskapital                                   </v>
          </cell>
          <cell r="S272" t="str">
            <v xml:space="preserve">Share capital                                     </v>
          </cell>
        </row>
        <row r="273">
          <cell r="Q273" t="str">
            <v>015</v>
          </cell>
          <cell r="R273" t="str">
            <v xml:space="preserve">Ny kapital (til Schibsted ASA)  </v>
          </cell>
          <cell r="S273" t="str">
            <v>New Equity (To Schibsted ASA)</v>
          </cell>
        </row>
        <row r="274">
          <cell r="Q274" t="str">
            <v>020</v>
          </cell>
          <cell r="R274" t="str">
            <v xml:space="preserve">Ny kapital (til andre)          </v>
          </cell>
          <cell r="S274" t="str">
            <v>New Equity (To other than Schibsted ASA)</v>
          </cell>
        </row>
        <row r="275">
          <cell r="Q275" t="str">
            <v>030</v>
          </cell>
          <cell r="R275" t="str">
            <v xml:space="preserve">Salg egne aksjer (Ansk.kost)    </v>
          </cell>
          <cell r="S275" t="str">
            <v>Sale own shares (Purchase cost)</v>
          </cell>
        </row>
        <row r="276">
          <cell r="Q276" t="str">
            <v>031</v>
          </cell>
          <cell r="R276" t="str">
            <v xml:space="preserve">Kjøp av egne aksjer                 </v>
          </cell>
          <cell r="S276" t="str">
            <v>Purchase own shares</v>
          </cell>
        </row>
        <row r="277">
          <cell r="Q277" t="str">
            <v>032</v>
          </cell>
          <cell r="R277" t="str">
            <v xml:space="preserve">Gev/tap egne aksjer                 </v>
          </cell>
          <cell r="S277" t="str">
            <v>Profit (Loss) own shares</v>
          </cell>
        </row>
        <row r="278">
          <cell r="Q278" t="str">
            <v>033</v>
          </cell>
          <cell r="R278" t="str">
            <v xml:space="preserve">Aksjebasert vederlag                </v>
          </cell>
          <cell r="S278" t="str">
            <v>Compensation based on shares</v>
          </cell>
        </row>
        <row r="279">
          <cell r="Q279" t="str">
            <v>035</v>
          </cell>
          <cell r="R279" t="str">
            <v xml:space="preserve">Tilgang datterselskap                </v>
          </cell>
          <cell r="S279" t="str">
            <v>Acquired companies</v>
          </cell>
        </row>
        <row r="280">
          <cell r="Q280" t="str">
            <v>040</v>
          </cell>
          <cell r="R280" t="str">
            <v xml:space="preserve">Avgang datterselskap            </v>
          </cell>
          <cell r="S280" t="str">
            <v>Sold companies</v>
          </cell>
        </row>
        <row r="281">
          <cell r="Q281" t="str">
            <v>060</v>
          </cell>
          <cell r="R281" t="str">
            <v xml:space="preserve">Overføringer mellom EK-linjer    </v>
          </cell>
          <cell r="S281" t="str">
            <v>Transfer between Equity items</v>
          </cell>
        </row>
        <row r="282">
          <cell r="Q282" t="str">
            <v>068</v>
          </cell>
          <cell r="R282" t="str">
            <v xml:space="preserve">Utbytte (fra ASA)                   </v>
          </cell>
          <cell r="S282" t="str">
            <v>Dividend (paid by Schibsted ASA)</v>
          </cell>
        </row>
        <row r="283">
          <cell r="Q283" t="str">
            <v>070</v>
          </cell>
          <cell r="R283" t="str">
            <v xml:space="preserve">Utbytte (fra andre)             </v>
          </cell>
          <cell r="S283" t="str">
            <v>Dividend (paid by other than Schibsted ASA)</v>
          </cell>
        </row>
        <row r="284">
          <cell r="Q284" t="str">
            <v>073</v>
          </cell>
          <cell r="R284" t="str">
            <v xml:space="preserve">Konsernbidrag                   </v>
          </cell>
          <cell r="S284" t="str">
            <v>Group Contribution (Net after tax)</v>
          </cell>
        </row>
        <row r="285">
          <cell r="Q285" t="str">
            <v>074</v>
          </cell>
          <cell r="R285" t="str">
            <v xml:space="preserve">Resultatel. mot EK               </v>
          </cell>
          <cell r="S285" t="str">
            <v>PL items booked against Equity</v>
          </cell>
        </row>
        <row r="286">
          <cell r="Q286" t="str">
            <v>076</v>
          </cell>
          <cell r="R286" t="str">
            <v>Sikringsbokføring -gev (tap) mot EK</v>
          </cell>
          <cell r="S286" t="str">
            <v>Hedge Accounting -P&amp;L against Equity</v>
          </cell>
        </row>
        <row r="287">
          <cell r="Q287" t="str">
            <v>077</v>
          </cell>
          <cell r="R287" t="str">
            <v>Sikringsbokføring -gev (tap) til resultat</v>
          </cell>
          <cell r="S287" t="str">
            <v>Hedge Accounting -P&amp;L  against PL Sheet</v>
          </cell>
        </row>
        <row r="288">
          <cell r="Q288" t="str">
            <v>078</v>
          </cell>
          <cell r="R288" t="str">
            <v xml:space="preserve">Tilgj. for salg                     </v>
          </cell>
          <cell r="S288" t="str">
            <v>Available for sale investments  - EK</v>
          </cell>
        </row>
        <row r="289">
          <cell r="Q289" t="str">
            <v>079</v>
          </cell>
          <cell r="R289" t="str">
            <v xml:space="preserve">Tilgjengelig for sal                </v>
          </cell>
          <cell r="S289" t="str">
            <v>Available for sale investments - Resultat</v>
          </cell>
        </row>
        <row r="290">
          <cell r="Q290" t="str">
            <v>080</v>
          </cell>
          <cell r="R290" t="str">
            <v xml:space="preserve">Annet                           </v>
          </cell>
          <cell r="S290" t="str">
            <v>Other</v>
          </cell>
        </row>
        <row r="291">
          <cell r="Q291" t="str">
            <v>082</v>
          </cell>
          <cell r="R291" t="str">
            <v>Endring i regnskapsprinsipp (Overgang IFRS)</v>
          </cell>
          <cell r="S291" t="str">
            <v>Change in accounting principles (IFRS)</v>
          </cell>
        </row>
        <row r="292">
          <cell r="Q292" t="str">
            <v>083</v>
          </cell>
          <cell r="R292" t="str">
            <v>Endring i regnskapsprinsipp (annet)</v>
          </cell>
          <cell r="S292" t="str">
            <v>Change in accounting principles (Other)</v>
          </cell>
        </row>
        <row r="293">
          <cell r="Q293" t="str">
            <v>085</v>
          </cell>
          <cell r="R293" t="str">
            <v xml:space="preserve">Periodens resultat                  </v>
          </cell>
          <cell r="S293" t="str">
            <v>Net profit</v>
          </cell>
        </row>
        <row r="294">
          <cell r="Q294" t="str">
            <v>090</v>
          </cell>
          <cell r="R294" t="str">
            <v>Årets omregningsdifferanse</v>
          </cell>
          <cell r="S294" t="str">
            <v>This years conversion difference</v>
          </cell>
        </row>
        <row r="295">
          <cell r="Q295" t="str">
            <v>100</v>
          </cell>
          <cell r="R295" t="str">
            <v>Utgående balanse eks. omregningsdifferanse</v>
          </cell>
          <cell r="S295" t="str">
            <v>Closing Balace ex. conversion difference</v>
          </cell>
        </row>
        <row r="296">
          <cell r="Q296" t="str">
            <v>EBA</v>
          </cell>
          <cell r="R296" t="str">
            <v>Utgående Balanse</v>
          </cell>
          <cell r="S296" t="str">
            <v>Closing Balance</v>
          </cell>
        </row>
        <row r="297">
          <cell r="Q297" t="str">
            <v>EBC</v>
          </cell>
          <cell r="R297" t="str">
            <v>Utgående balanse Omregningsdifferanse</v>
          </cell>
          <cell r="S297" t="str">
            <v>Closing Balance Convertion Difference</v>
          </cell>
        </row>
        <row r="298">
          <cell r="Q298" t="str">
            <v>OBB</v>
          </cell>
          <cell r="R298" t="str">
            <v>Inngående Balanse</v>
          </cell>
          <cell r="S298" t="str">
            <v>Opening Balance</v>
          </cell>
        </row>
        <row r="299">
          <cell r="Q299" t="str">
            <v>OBC</v>
          </cell>
          <cell r="R299" t="str">
            <v>Åpningsbalanse Omregningsdifferanse</v>
          </cell>
          <cell r="S299" t="str">
            <v>Opening Balance Convertion Difference</v>
          </cell>
        </row>
        <row r="300">
          <cell r="Q300" t="str">
            <v>E2110</v>
          </cell>
          <cell r="R300" t="str">
            <v xml:space="preserve">Egne aksjer                                       </v>
          </cell>
          <cell r="S300" t="str">
            <v xml:space="preserve">Own share                                         </v>
          </cell>
        </row>
        <row r="301">
          <cell r="Q301" t="str">
            <v>E2110015</v>
          </cell>
          <cell r="R301" t="str">
            <v xml:space="preserve">Egne aksjer / Ny kapital (til Schibsted ASA)      </v>
          </cell>
          <cell r="S301" t="str">
            <v xml:space="preserve">Own share / New Capital (to Schibsted ASA)        </v>
          </cell>
        </row>
        <row r="302">
          <cell r="Q302" t="str">
            <v>E2110020</v>
          </cell>
          <cell r="R302" t="str">
            <v xml:space="preserve">Egne aksjer / Ny kapital (til andre)              </v>
          </cell>
          <cell r="S302" t="str">
            <v xml:space="preserve">Own share / New Capital (to others)               </v>
          </cell>
        </row>
        <row r="303">
          <cell r="Q303" t="str">
            <v>E2110030</v>
          </cell>
          <cell r="R303" t="str">
            <v xml:space="preserve">Egne aksjer / Salg egne aksjer (Ansk.kost)        </v>
          </cell>
          <cell r="S303" t="str">
            <v xml:space="preserve">Own share / Sale own shares (Purchase cost)       </v>
          </cell>
        </row>
        <row r="304">
          <cell r="Q304" t="str">
            <v>E2110031</v>
          </cell>
          <cell r="R304" t="str">
            <v xml:space="preserve">Egne aksjer / Kjøp av egne aksjer                 </v>
          </cell>
          <cell r="S304" t="str">
            <v xml:space="preserve">Own share / Acq own shares                        </v>
          </cell>
        </row>
        <row r="305">
          <cell r="Q305" t="str">
            <v>E2110032</v>
          </cell>
          <cell r="R305" t="str">
            <v xml:space="preserve">Egne aksjer / Gev/tap egne aksjer                 </v>
          </cell>
          <cell r="S305" t="str">
            <v xml:space="preserve">Own share / P/L own shares                        </v>
          </cell>
        </row>
        <row r="306">
          <cell r="Q306" t="str">
            <v>E2110033</v>
          </cell>
          <cell r="R306" t="str">
            <v xml:space="preserve">Egne aksjer / Aksjebasert vederlag                </v>
          </cell>
          <cell r="S306" t="str">
            <v xml:space="preserve">Own share / Aksjebasert vederlag                  </v>
          </cell>
        </row>
        <row r="307">
          <cell r="Q307" t="str">
            <v>E2110035</v>
          </cell>
          <cell r="R307" t="str">
            <v xml:space="preserve">Egne aksjer / Tilgang datterselskap               </v>
          </cell>
          <cell r="S307" t="str">
            <v xml:space="preserve">Own share / Acquired subsidiaries                 </v>
          </cell>
        </row>
        <row r="308">
          <cell r="Q308" t="str">
            <v>E2110040</v>
          </cell>
          <cell r="R308" t="str">
            <v xml:space="preserve">Egne aksjer / Avgang datterselskap                </v>
          </cell>
          <cell r="S308" t="str">
            <v xml:space="preserve">Own share / Sale subsidiaries                     </v>
          </cell>
        </row>
        <row r="309">
          <cell r="Q309" t="str">
            <v>E2110060</v>
          </cell>
          <cell r="R309" t="str">
            <v xml:space="preserve">Egne aksjer / Overføringer mellom EK- linjer      </v>
          </cell>
          <cell r="S309" t="str">
            <v xml:space="preserve">Own share / Transfer between EQ items             </v>
          </cell>
        </row>
        <row r="310">
          <cell r="Q310" t="str">
            <v>E2110068</v>
          </cell>
          <cell r="R310" t="str">
            <v xml:space="preserve">Egne aksjer / Utbytte (fra ASA)                   </v>
          </cell>
          <cell r="S310" t="str">
            <v xml:space="preserve">Own share / Dividend (from ASA)                   </v>
          </cell>
        </row>
        <row r="311">
          <cell r="Q311" t="str">
            <v>E2110070</v>
          </cell>
          <cell r="R311" t="str">
            <v xml:space="preserve">Egne aksjer / Utbytte (fra andre)                 </v>
          </cell>
          <cell r="S311" t="str">
            <v xml:space="preserve">Own share / Dividend (from others)                </v>
          </cell>
        </row>
        <row r="312">
          <cell r="Q312" t="str">
            <v>E2110073</v>
          </cell>
          <cell r="R312" t="str">
            <v xml:space="preserve">Egne aksjer / Konsernbidrag                       </v>
          </cell>
          <cell r="S312" t="str">
            <v xml:space="preserve">Own share / Group transfer                        </v>
          </cell>
        </row>
        <row r="313">
          <cell r="Q313" t="str">
            <v>E2110074</v>
          </cell>
          <cell r="R313" t="str">
            <v xml:space="preserve">Egne aksjer / Resultatelementer mot EK            </v>
          </cell>
          <cell r="S313" t="str">
            <v xml:space="preserve">Own share /  PL items against Equity              </v>
          </cell>
        </row>
        <row r="314">
          <cell r="Q314" t="str">
            <v>E2110076</v>
          </cell>
          <cell r="R314" t="str">
            <v xml:space="preserve">Egne aksjer / Sikringsbokføring -g                </v>
          </cell>
          <cell r="S314" t="str">
            <v xml:space="preserve">Own share / Sikringsbokføring -g                  </v>
          </cell>
        </row>
        <row r="315">
          <cell r="Q315" t="str">
            <v>E2110077</v>
          </cell>
          <cell r="R315" t="str">
            <v xml:space="preserve">Egne aksjer / Sikringsbokføring -g                </v>
          </cell>
          <cell r="S315" t="str">
            <v xml:space="preserve">Own share / Sikringsbokføring -g                  </v>
          </cell>
        </row>
        <row r="316">
          <cell r="Q316" t="str">
            <v>E2110078</v>
          </cell>
          <cell r="R316" t="str">
            <v xml:space="preserve">Egne aksjer / Tilgj. for salg                     </v>
          </cell>
          <cell r="S316" t="str">
            <v xml:space="preserve">Own share / Available for sale                    </v>
          </cell>
        </row>
        <row r="317">
          <cell r="Q317" t="str">
            <v>E2110079</v>
          </cell>
          <cell r="R317" t="str">
            <v xml:space="preserve">Egne aksjer / Tilgjengelig for sal                </v>
          </cell>
          <cell r="S317" t="str">
            <v xml:space="preserve">Own share / Tilgjengelig for sal                  </v>
          </cell>
        </row>
        <row r="318">
          <cell r="Q318" t="str">
            <v>E2110080</v>
          </cell>
          <cell r="R318" t="str">
            <v xml:space="preserve">Egne aksjer / Annet                               </v>
          </cell>
          <cell r="S318" t="str">
            <v xml:space="preserve">Own share / Other                                 </v>
          </cell>
        </row>
        <row r="319">
          <cell r="Q319" t="str">
            <v>E2110082</v>
          </cell>
          <cell r="R319" t="str">
            <v xml:space="preserve">Egne aksjer / IFRS                                </v>
          </cell>
          <cell r="S319" t="str">
            <v xml:space="preserve">Own share / IFRS                                  </v>
          </cell>
        </row>
        <row r="320">
          <cell r="Q320" t="str">
            <v>E2110083</v>
          </cell>
          <cell r="R320" t="str">
            <v xml:space="preserve">Egne aksjer / Endring i regn.prinsipp             </v>
          </cell>
          <cell r="S320" t="str">
            <v xml:space="preserve">Own share / Change acc. principl                  </v>
          </cell>
        </row>
        <row r="321">
          <cell r="Q321" t="str">
            <v>E2110085</v>
          </cell>
          <cell r="R321" t="str">
            <v xml:space="preserve">Egne aksjer / Periodens resultat                  </v>
          </cell>
          <cell r="S321" t="str">
            <v xml:space="preserve">Own share / Net prof                              </v>
          </cell>
        </row>
        <row r="322">
          <cell r="Q322" t="str">
            <v>E2110090</v>
          </cell>
          <cell r="R322" t="str">
            <v xml:space="preserve">Egne aksjer / Omregningsdifferanse                </v>
          </cell>
          <cell r="S322" t="str">
            <v xml:space="preserve">Own share / Conversion diff                       </v>
          </cell>
        </row>
        <row r="323">
          <cell r="Q323" t="str">
            <v>E2110100</v>
          </cell>
          <cell r="R323" t="str">
            <v xml:space="preserve">Egne aksjer / UB eks. omr.diff                    </v>
          </cell>
          <cell r="S323" t="str">
            <v xml:space="preserve">Own share / CB ex. conv. diff                     </v>
          </cell>
        </row>
        <row r="324">
          <cell r="Q324" t="str">
            <v>E2110EBA</v>
          </cell>
          <cell r="R324" t="str">
            <v xml:space="preserve">Egne aksjer / Utgående Balanse                    </v>
          </cell>
          <cell r="S324" t="str">
            <v xml:space="preserve">Own share / Closing Balance                       </v>
          </cell>
        </row>
        <row r="325">
          <cell r="Q325" t="str">
            <v>E2110EBC</v>
          </cell>
          <cell r="R325" t="str">
            <v xml:space="preserve">Egne aksjer / UB Omr. diff                        </v>
          </cell>
          <cell r="S325" t="str">
            <v xml:space="preserve">Own share / CB Conv. Diff                         </v>
          </cell>
        </row>
        <row r="326">
          <cell r="Q326" t="str">
            <v>E2110OBB</v>
          </cell>
          <cell r="R326" t="str">
            <v xml:space="preserve">Egne aksjer / IB                                  </v>
          </cell>
          <cell r="S326" t="str">
            <v xml:space="preserve">Own share / OBB                                   </v>
          </cell>
        </row>
        <row r="327">
          <cell r="Q327" t="str">
            <v>E2110OBC</v>
          </cell>
          <cell r="R327" t="str">
            <v xml:space="preserve">Egne aksjer / IB Omr. diff                        </v>
          </cell>
          <cell r="S327" t="str">
            <v xml:space="preserve">Own share / OB Conv. Diff                         </v>
          </cell>
        </row>
        <row r="328">
          <cell r="Q328" t="str">
            <v>E2120</v>
          </cell>
          <cell r="R328" t="str">
            <v xml:space="preserve">Overkursfond                                      </v>
          </cell>
          <cell r="S328" t="str">
            <v xml:space="preserve">Excess value reserve                              </v>
          </cell>
        </row>
        <row r="329">
          <cell r="Q329" t="str">
            <v>E2120015</v>
          </cell>
          <cell r="R329" t="str">
            <v xml:space="preserve">Overkursfond / Ny EK (til Schibsted ASA)          </v>
          </cell>
          <cell r="S329" t="str">
            <v xml:space="preserve">Excess value res / New Equity (to Schibsted ASA)  </v>
          </cell>
        </row>
        <row r="330">
          <cell r="Q330" t="str">
            <v>E2120020</v>
          </cell>
          <cell r="R330" t="str">
            <v xml:space="preserve">Overkursfond /Ny EK (til andre)                   </v>
          </cell>
          <cell r="S330" t="str">
            <v xml:space="preserve">Excess value res /New Equity (to others)          </v>
          </cell>
        </row>
        <row r="331">
          <cell r="Q331" t="str">
            <v>E2120030</v>
          </cell>
          <cell r="R331" t="str">
            <v xml:space="preserve">Overkursfond /Salg egne aksjer (Ansk.kost)        </v>
          </cell>
          <cell r="S331" t="str">
            <v>Excess value res / Sale own shares (Purchase cost)</v>
          </cell>
        </row>
        <row r="332">
          <cell r="Q332" t="str">
            <v>E2120031</v>
          </cell>
          <cell r="R332" t="str">
            <v xml:space="preserve">Overkfond / Kjøp av egne aksjer                   </v>
          </cell>
          <cell r="S332" t="str">
            <v xml:space="preserve">Excess value res / Acq own shares                 </v>
          </cell>
        </row>
        <row r="333">
          <cell r="Q333" t="str">
            <v>E2120032</v>
          </cell>
          <cell r="R333" t="str">
            <v xml:space="preserve">Overkfond / Gev/tap egne aksjer                   </v>
          </cell>
          <cell r="S333" t="str">
            <v xml:space="preserve">Excess value res / P/L own shares                 </v>
          </cell>
        </row>
        <row r="334">
          <cell r="Q334" t="str">
            <v>E2120033</v>
          </cell>
          <cell r="R334" t="str">
            <v xml:space="preserve">Overkfond / Aksjebasert vederlag                  </v>
          </cell>
          <cell r="S334" t="str">
            <v xml:space="preserve">Excess value res / Aksjebasert vederlag           </v>
          </cell>
        </row>
        <row r="335">
          <cell r="Q335" t="str">
            <v>E2120035</v>
          </cell>
          <cell r="R335" t="str">
            <v xml:space="preserve">Overkursfond / Tilgang datterselskap              </v>
          </cell>
          <cell r="S335" t="str">
            <v xml:space="preserve">Excess value reserve / Acquired subsidiaries      </v>
          </cell>
        </row>
        <row r="336">
          <cell r="Q336" t="str">
            <v>E2120040</v>
          </cell>
          <cell r="R336" t="str">
            <v xml:space="preserve">Overkursfond / Avgang datterselskap               </v>
          </cell>
          <cell r="S336" t="str">
            <v xml:space="preserve">Excess value res / Sale subsidiaries              </v>
          </cell>
        </row>
        <row r="337">
          <cell r="Q337" t="str">
            <v>E2120060</v>
          </cell>
          <cell r="R337" t="str">
            <v xml:space="preserve">Overkursfond / Overføringer mellom EK- linjer     </v>
          </cell>
          <cell r="S337" t="str">
            <v xml:space="preserve">Excess value res /Transfer between EQ- items      </v>
          </cell>
        </row>
        <row r="338">
          <cell r="Q338" t="str">
            <v>E2120068</v>
          </cell>
          <cell r="R338" t="str">
            <v xml:space="preserve">Overkfond / Utbytte (fra ASA)                     </v>
          </cell>
          <cell r="S338" t="str">
            <v xml:space="preserve">Excess value res / Dividend (from ASA)            </v>
          </cell>
        </row>
        <row r="339">
          <cell r="Q339" t="str">
            <v>E2120070</v>
          </cell>
          <cell r="R339" t="str">
            <v xml:space="preserve">Overkursfond / Utbytte (fra andre)                </v>
          </cell>
          <cell r="S339" t="str">
            <v xml:space="preserve">Excess value res / Dividend (from others)         </v>
          </cell>
        </row>
        <row r="340">
          <cell r="Q340" t="str">
            <v>E2120073</v>
          </cell>
          <cell r="R340" t="str">
            <v xml:space="preserve">Overkursfond / Konsernbidrag                      </v>
          </cell>
          <cell r="S340" t="str">
            <v xml:space="preserve">Excess value res / Group transfer                 </v>
          </cell>
        </row>
        <row r="341">
          <cell r="Q341" t="str">
            <v>E2120074</v>
          </cell>
          <cell r="R341" t="str">
            <v xml:space="preserve">Overkursfond / Resultatelementer mot EK           </v>
          </cell>
          <cell r="S341" t="str">
            <v xml:space="preserve">Excess value res / PL items against Equity        </v>
          </cell>
        </row>
        <row r="342">
          <cell r="Q342" t="str">
            <v>E2120076</v>
          </cell>
          <cell r="R342" t="str">
            <v xml:space="preserve">Overkfond / Sikringsbokføring -g                  </v>
          </cell>
          <cell r="S342" t="str">
            <v xml:space="preserve">Excess value res / Sikringsbokføring -g           </v>
          </cell>
        </row>
        <row r="343">
          <cell r="Q343" t="str">
            <v>E2120077</v>
          </cell>
          <cell r="R343" t="str">
            <v xml:space="preserve">Overkfond / Sikringsbokføring -g                  </v>
          </cell>
          <cell r="S343" t="str">
            <v xml:space="preserve">Excess value res / Sikringsbokføring -g           </v>
          </cell>
        </row>
        <row r="344">
          <cell r="Q344" t="str">
            <v>E2120078</v>
          </cell>
          <cell r="R344" t="str">
            <v xml:space="preserve">Overkfond / Tilgj. for salg                       </v>
          </cell>
          <cell r="S344" t="str">
            <v xml:space="preserve">Excess value res / Available for sale             </v>
          </cell>
        </row>
        <row r="345">
          <cell r="Q345" t="str">
            <v>E2120079</v>
          </cell>
          <cell r="R345" t="str">
            <v xml:space="preserve">Overkfond / Tilgjengelig for sal                  </v>
          </cell>
          <cell r="S345" t="str">
            <v xml:space="preserve">Excess value res / Tilgjengelig for sal           </v>
          </cell>
        </row>
        <row r="346">
          <cell r="Q346" t="str">
            <v>E2120080</v>
          </cell>
          <cell r="R346" t="str">
            <v xml:space="preserve">Overkursfond / Annet                              </v>
          </cell>
          <cell r="S346" t="str">
            <v xml:space="preserve">Excess value res / Other                          </v>
          </cell>
        </row>
        <row r="347">
          <cell r="Q347" t="str">
            <v>E2120082</v>
          </cell>
          <cell r="R347" t="str">
            <v xml:space="preserve">Overkfond / IFRS                                  </v>
          </cell>
          <cell r="S347" t="str">
            <v xml:space="preserve">Excess value res / IFRS                           </v>
          </cell>
        </row>
        <row r="348">
          <cell r="Q348" t="str">
            <v>E2120083</v>
          </cell>
          <cell r="R348" t="str">
            <v xml:space="preserve">Overkfond /Endring i regn.prinsipp                </v>
          </cell>
          <cell r="S348" t="str">
            <v xml:space="preserve">Excess value res /Change acc. principl            </v>
          </cell>
        </row>
        <row r="349">
          <cell r="Q349" t="str">
            <v>E2120085</v>
          </cell>
          <cell r="R349" t="str">
            <v xml:space="preserve">Overkfond / Periodens resultat                    </v>
          </cell>
          <cell r="S349" t="str">
            <v xml:space="preserve">Excess value res / Net prof                       </v>
          </cell>
        </row>
        <row r="350">
          <cell r="Q350" t="str">
            <v>E2120090</v>
          </cell>
          <cell r="R350" t="str">
            <v xml:space="preserve">Overkfond / Omregningsdifferanse                  </v>
          </cell>
          <cell r="S350" t="str">
            <v xml:space="preserve">Excess value res / Conversion diff                </v>
          </cell>
        </row>
        <row r="351">
          <cell r="Q351" t="str">
            <v>E2120100</v>
          </cell>
          <cell r="R351" t="str">
            <v xml:space="preserve">Overkfond / UB eks. omr.diff                      </v>
          </cell>
          <cell r="S351" t="str">
            <v xml:space="preserve">Excess value res / CB ex. conv. diff              </v>
          </cell>
        </row>
        <row r="352">
          <cell r="Q352" t="str">
            <v>E2120EBA</v>
          </cell>
          <cell r="R352" t="str">
            <v xml:space="preserve">Overkfond / Utgående Balanse                      </v>
          </cell>
          <cell r="S352" t="str">
            <v xml:space="preserve">Excess value res / Closing Balance                </v>
          </cell>
        </row>
        <row r="353">
          <cell r="Q353" t="str">
            <v>E2120EBC</v>
          </cell>
          <cell r="R353" t="str">
            <v xml:space="preserve">Overkfond / UB Omr. diff                          </v>
          </cell>
          <cell r="S353" t="str">
            <v xml:space="preserve">Excess value res / CB Conv. Diff                  </v>
          </cell>
        </row>
        <row r="354">
          <cell r="Q354" t="str">
            <v>E2120OBB</v>
          </cell>
          <cell r="R354" t="str">
            <v xml:space="preserve">Overkursfond / IB                                 </v>
          </cell>
          <cell r="S354" t="str">
            <v xml:space="preserve">Excess value res / OBB                            </v>
          </cell>
        </row>
        <row r="355">
          <cell r="Q355" t="str">
            <v>E2120OBC</v>
          </cell>
          <cell r="R355" t="str">
            <v xml:space="preserve">Overkfond / IB Omr. diff                          </v>
          </cell>
          <cell r="S355" t="str">
            <v xml:space="preserve">Excess value res / OB Conv. Diff                  </v>
          </cell>
        </row>
        <row r="356">
          <cell r="Q356" t="str">
            <v>E2130</v>
          </cell>
          <cell r="R356" t="str">
            <v xml:space="preserve">Annen innbetalt EK                                </v>
          </cell>
          <cell r="S356" t="str">
            <v xml:space="preserve">Other paid-in Equity                              </v>
          </cell>
        </row>
        <row r="357">
          <cell r="Q357" t="str">
            <v>E2130015</v>
          </cell>
          <cell r="R357" t="str">
            <v xml:space="preserve">Other paid-in Equity / Ny EK (til ASA)            </v>
          </cell>
          <cell r="S357" t="str">
            <v xml:space="preserve">Annen innbetalt EK / New Equity (to ASA)          </v>
          </cell>
        </row>
        <row r="358">
          <cell r="Q358" t="str">
            <v>E2130020</v>
          </cell>
          <cell r="R358" t="str">
            <v xml:space="preserve">Other paid-in Equity / NY EK (til andre)          </v>
          </cell>
          <cell r="S358" t="str">
            <v xml:space="preserve">Annen innbetalt EK / New Equity (to others)       </v>
          </cell>
        </row>
        <row r="359">
          <cell r="Q359" t="str">
            <v>E2130030</v>
          </cell>
          <cell r="R359" t="str">
            <v xml:space="preserve">Other paid-in Equity / Salg av egne aksjer (Ansk) </v>
          </cell>
          <cell r="S359" t="str">
            <v xml:space="preserve">Annen innbetalt EK / Sale own shares (Purchase)   </v>
          </cell>
        </row>
        <row r="360">
          <cell r="Q360" t="str">
            <v>E2130031</v>
          </cell>
          <cell r="R360" t="str">
            <v xml:space="preserve">Other paid-in Equity / Kjøp av egen aksjer        </v>
          </cell>
          <cell r="S360" t="str">
            <v xml:space="preserve">Annen innbetalt EK / Purchase own shares          </v>
          </cell>
        </row>
        <row r="361">
          <cell r="Q361" t="str">
            <v>E2130032</v>
          </cell>
          <cell r="R361" t="str">
            <v xml:space="preserve">Other paid-in Equity / Gev/tap egne aksjer        </v>
          </cell>
          <cell r="S361" t="str">
            <v xml:space="preserve">Annen innbetalt EK / P/L own shares               </v>
          </cell>
        </row>
        <row r="362">
          <cell r="Q362" t="str">
            <v>E2130033</v>
          </cell>
          <cell r="R362" t="str">
            <v xml:space="preserve">Other paid-in Equity / Aksjebasert vederlag       </v>
          </cell>
          <cell r="S362" t="str">
            <v xml:space="preserve">Annen innbetalt EK / Aksjebasert vederlag         </v>
          </cell>
        </row>
        <row r="363">
          <cell r="Q363" t="str">
            <v>E2130035</v>
          </cell>
          <cell r="R363" t="str">
            <v xml:space="preserve">Other paid-in Equity / Tilgang datterselsk.       </v>
          </cell>
          <cell r="S363" t="str">
            <v xml:space="preserve">Annen innbetalt EK / Acquired subsidiaries        </v>
          </cell>
        </row>
        <row r="364">
          <cell r="Q364" t="str">
            <v>E2130040</v>
          </cell>
          <cell r="R364" t="str">
            <v xml:space="preserve">Other paid-in Equity / Avgang datterselsk.        </v>
          </cell>
          <cell r="S364" t="str">
            <v xml:space="preserve">Annen innbetalt EK / Sold subsidiaries            </v>
          </cell>
        </row>
        <row r="365">
          <cell r="Q365" t="str">
            <v>E2130060</v>
          </cell>
          <cell r="R365" t="str">
            <v>Other paid-in Equity / Overføringer mellom EK- lin</v>
          </cell>
          <cell r="S365" t="str">
            <v xml:space="preserve">Annen innbetalt EK / Transfer between EQ- items   </v>
          </cell>
        </row>
        <row r="366">
          <cell r="Q366" t="str">
            <v>E2130068</v>
          </cell>
          <cell r="R366" t="str">
            <v xml:space="preserve">Other paid-in Equity / Utbytte (fra ASA)          </v>
          </cell>
          <cell r="S366" t="str">
            <v xml:space="preserve">Annen innbetalt EK / Dividend (from ASA)          </v>
          </cell>
        </row>
        <row r="367">
          <cell r="Q367" t="str">
            <v>E2130070</v>
          </cell>
          <cell r="R367" t="str">
            <v xml:space="preserve">Other paid-in Equity / Utbytte (fra andre)        </v>
          </cell>
          <cell r="S367" t="str">
            <v xml:space="preserve">Annen innbetalt EK / Dividend (from other)        </v>
          </cell>
        </row>
        <row r="368">
          <cell r="Q368" t="str">
            <v>E2130073</v>
          </cell>
          <cell r="R368" t="str">
            <v xml:space="preserve">Other paid-in Equity / Konsernbidrag              </v>
          </cell>
          <cell r="S368" t="str">
            <v xml:space="preserve">Annen innbetalt EK / Group Contribution           </v>
          </cell>
        </row>
        <row r="369">
          <cell r="Q369" t="str">
            <v>E2130074</v>
          </cell>
          <cell r="R369" t="str">
            <v xml:space="preserve">Other paid-in Equity / Res.element mot EK         </v>
          </cell>
          <cell r="S369" t="str">
            <v xml:space="preserve">Annen innbetalt EK / PL items against EK          </v>
          </cell>
        </row>
        <row r="370">
          <cell r="Q370" t="str">
            <v>E2130076</v>
          </cell>
          <cell r="R370" t="str">
            <v xml:space="preserve">Other paid-in Equity / Sikringsbokføring -g       </v>
          </cell>
          <cell r="S370" t="str">
            <v xml:space="preserve">Annen innbetalt EK / Sikringsbokføring -g         </v>
          </cell>
        </row>
        <row r="371">
          <cell r="Q371" t="str">
            <v>E2130077</v>
          </cell>
          <cell r="R371" t="str">
            <v xml:space="preserve">Other paid-in Equity / Sikringsbokføring -g       </v>
          </cell>
          <cell r="S371" t="str">
            <v xml:space="preserve">Annen innbetalt EK / Sikringsbokføring -g         </v>
          </cell>
        </row>
        <row r="372">
          <cell r="Q372" t="str">
            <v>E2130078</v>
          </cell>
          <cell r="R372" t="str">
            <v xml:space="preserve">Other paid-in Equity / Tilgj. for salg            </v>
          </cell>
          <cell r="S372" t="str">
            <v xml:space="preserve">Annen innbetalt EK / Available for sale           </v>
          </cell>
        </row>
        <row r="373">
          <cell r="Q373" t="str">
            <v>E2130079</v>
          </cell>
          <cell r="R373" t="str">
            <v xml:space="preserve">Other paid-in Equity / Tilgjengelig for sal       </v>
          </cell>
          <cell r="S373" t="str">
            <v xml:space="preserve">Annen innbetalt EK / Tilgjengelig for sal         </v>
          </cell>
        </row>
        <row r="374">
          <cell r="Q374" t="str">
            <v>E2130080</v>
          </cell>
          <cell r="R374" t="str">
            <v xml:space="preserve">Other paid-in Equity / Annet                      </v>
          </cell>
          <cell r="S374" t="str">
            <v xml:space="preserve">Annen innbetalt EK / Other                        </v>
          </cell>
        </row>
        <row r="375">
          <cell r="Q375" t="str">
            <v>E2130082</v>
          </cell>
          <cell r="R375" t="str">
            <v xml:space="preserve">Other paid-in Equity / IFRS                       </v>
          </cell>
          <cell r="S375" t="str">
            <v xml:space="preserve">Annen innbetalt EK / IFRS                         </v>
          </cell>
        </row>
        <row r="376">
          <cell r="Q376" t="str">
            <v>E2130083</v>
          </cell>
          <cell r="R376" t="str">
            <v xml:space="preserve">Annen innbetalt EK/ Endring i regn.prinsipp       </v>
          </cell>
          <cell r="S376" t="str">
            <v xml:space="preserve">Other paid-in Equity / Change acc. principl       </v>
          </cell>
        </row>
        <row r="377">
          <cell r="Q377" t="str">
            <v>E2130085</v>
          </cell>
          <cell r="R377" t="str">
            <v xml:space="preserve">Other paid-in Equity / Periodens resultat         </v>
          </cell>
          <cell r="S377" t="str">
            <v xml:space="preserve">Annen innbetalt EK / Net profit                   </v>
          </cell>
        </row>
        <row r="378">
          <cell r="Q378" t="str">
            <v>E2130090</v>
          </cell>
          <cell r="R378" t="str">
            <v xml:space="preserve">Other paid-in Equity / Omregningsdifferanse       </v>
          </cell>
          <cell r="S378" t="str">
            <v xml:space="preserve">Annen innbetalt EK / Conversion diff              </v>
          </cell>
        </row>
        <row r="379">
          <cell r="Q379" t="str">
            <v>E2130100</v>
          </cell>
          <cell r="R379" t="str">
            <v xml:space="preserve">Other paid-in Equity / UB eks. omr.diff           </v>
          </cell>
          <cell r="S379" t="str">
            <v xml:space="preserve">Annen innbetalt EK / CB ex. conv. diff            </v>
          </cell>
        </row>
        <row r="380">
          <cell r="Q380" t="str">
            <v>E2130EBA</v>
          </cell>
          <cell r="R380" t="str">
            <v xml:space="preserve">Other paid-in Equity / Utgående Balanse           </v>
          </cell>
          <cell r="S380" t="str">
            <v xml:space="preserve">Annen innbetalt EK / Closing Balance              </v>
          </cell>
        </row>
        <row r="381">
          <cell r="Q381" t="str">
            <v>E2130EBC</v>
          </cell>
          <cell r="R381" t="str">
            <v xml:space="preserve">Other paid-in Equity / UB Omr. diff               </v>
          </cell>
          <cell r="S381" t="str">
            <v xml:space="preserve">Annen innbetalt EK / CB Conv. Diff                </v>
          </cell>
        </row>
        <row r="382">
          <cell r="Q382" t="str">
            <v>E2130OBB</v>
          </cell>
          <cell r="R382" t="str">
            <v xml:space="preserve">Other paid-in Equity / OBB                        </v>
          </cell>
          <cell r="S382" t="str">
            <v xml:space="preserve">Annen innbetalt EK / OBB                          </v>
          </cell>
        </row>
        <row r="383">
          <cell r="Q383" t="str">
            <v>E2130OBC</v>
          </cell>
          <cell r="R383" t="str">
            <v xml:space="preserve">Other paid-in Equity / IB Omr. diff               </v>
          </cell>
          <cell r="S383" t="str">
            <v xml:space="preserve">Annen innbetalt EK / OB Conv. Diff                </v>
          </cell>
        </row>
        <row r="384">
          <cell r="Q384" t="str">
            <v>E2199</v>
          </cell>
          <cell r="R384" t="str">
            <v xml:space="preserve">Sum innskutt kapital                              </v>
          </cell>
          <cell r="S384" t="str">
            <v xml:space="preserve">Total deposit equity                              </v>
          </cell>
        </row>
        <row r="385">
          <cell r="Q385" t="str">
            <v>E2199015</v>
          </cell>
          <cell r="R385" t="str">
            <v xml:space="preserve">Sum innskutt kap / Nyemisjon                      </v>
          </cell>
          <cell r="S385" t="str">
            <v xml:space="preserve">Tot dep eq / New capital                          </v>
          </cell>
        </row>
        <row r="386">
          <cell r="Q386" t="str">
            <v>E2199020</v>
          </cell>
          <cell r="R386" t="str">
            <v xml:space="preserve">Sum innskutt kap / Fondsemisjon                   </v>
          </cell>
          <cell r="S386" t="str">
            <v xml:space="preserve">Tot dep eq / Stock dividend                       </v>
          </cell>
        </row>
        <row r="387">
          <cell r="Q387" t="str">
            <v>E2199030</v>
          </cell>
          <cell r="R387" t="str">
            <v xml:space="preserve">Sum innskutt kap / Nedskrivninger                 </v>
          </cell>
          <cell r="S387" t="str">
            <v xml:space="preserve">Tot dep eq / Revaluations                         </v>
          </cell>
        </row>
        <row r="388">
          <cell r="Q388" t="str">
            <v>E2199031</v>
          </cell>
          <cell r="R388" t="str">
            <v xml:space="preserve">Sum innskutt kap / Kjøp av egne aksjer            </v>
          </cell>
          <cell r="S388" t="str">
            <v xml:space="preserve">Tot dep eq / Acq own shares                       </v>
          </cell>
        </row>
        <row r="389">
          <cell r="Q389" t="str">
            <v>E2199032</v>
          </cell>
          <cell r="R389" t="str">
            <v xml:space="preserve">Sum inns ek / Gev/tap egne aksjer                 </v>
          </cell>
          <cell r="S389" t="str">
            <v xml:space="preserve">Tot dep eq / P/L own shares                       </v>
          </cell>
        </row>
        <row r="390">
          <cell r="Q390" t="str">
            <v>E2199033</v>
          </cell>
          <cell r="R390" t="str">
            <v xml:space="preserve">Sum inns ek / Aksjebasert vederlag                </v>
          </cell>
          <cell r="S390" t="str">
            <v xml:space="preserve">Tot dep eq / Compensation based o                 </v>
          </cell>
        </row>
        <row r="391">
          <cell r="Q391" t="str">
            <v>E2199035</v>
          </cell>
          <cell r="R391" t="str">
            <v xml:space="preserve">Sum innskutt kap / Kjøp                           </v>
          </cell>
          <cell r="S391" t="str">
            <v xml:space="preserve">Tot dep eq / Acquired                             </v>
          </cell>
        </row>
        <row r="392">
          <cell r="Q392" t="str">
            <v>E2199040</v>
          </cell>
          <cell r="R392" t="str">
            <v xml:space="preserve">Sum innskutt kap / Salg                           </v>
          </cell>
          <cell r="S392" t="str">
            <v xml:space="preserve">Tot dep eq / Sale                                 </v>
          </cell>
        </row>
        <row r="393">
          <cell r="Q393" t="str">
            <v>E2199060</v>
          </cell>
          <cell r="R393" t="str">
            <v xml:space="preserve">Sum innskutt kap / Overføringer                   </v>
          </cell>
          <cell r="S393" t="str">
            <v xml:space="preserve">Tot dep eq / Transfer                             </v>
          </cell>
        </row>
        <row r="394">
          <cell r="Q394" t="str">
            <v>E2199068</v>
          </cell>
          <cell r="R394" t="str">
            <v xml:space="preserve">Sum inns ek / Utbytte (fra ASA)                   </v>
          </cell>
          <cell r="S394" t="str">
            <v xml:space="preserve">Tot dep eq / Dividend (by ASA)                    </v>
          </cell>
        </row>
        <row r="395">
          <cell r="Q395" t="str">
            <v>E2199070</v>
          </cell>
          <cell r="R395" t="str">
            <v xml:space="preserve">Sum innskutt kap / Utbytte                        </v>
          </cell>
          <cell r="S395" t="str">
            <v xml:space="preserve">Tot dep eq / Dividend                             </v>
          </cell>
        </row>
        <row r="396">
          <cell r="Q396" t="str">
            <v>E2199073</v>
          </cell>
          <cell r="R396" t="str">
            <v xml:space="preserve">Sum innskutt kap / Konsernbidrag                  </v>
          </cell>
          <cell r="S396" t="str">
            <v xml:space="preserve">Tot dep eq / Group transfer                       </v>
          </cell>
        </row>
        <row r="397">
          <cell r="Q397" t="str">
            <v>E2199074</v>
          </cell>
          <cell r="R397" t="str">
            <v xml:space="preserve">Sum innskutt kap / Korreksjon skatt               </v>
          </cell>
          <cell r="S397" t="str">
            <v xml:space="preserve">Tot dep eq / Correction tax                       </v>
          </cell>
        </row>
        <row r="398">
          <cell r="Q398" t="str">
            <v>E2199076</v>
          </cell>
          <cell r="R398" t="str">
            <v xml:space="preserve">Sum inns ek / Sikringsbokføring -g                </v>
          </cell>
          <cell r="S398" t="str">
            <v xml:space="preserve">Tot dep eq / Hedge Accounting                     </v>
          </cell>
        </row>
        <row r="399">
          <cell r="Q399" t="str">
            <v>E2199077</v>
          </cell>
          <cell r="R399" t="str">
            <v xml:space="preserve">Sum inns ek / Sikringsbokføring -g                </v>
          </cell>
          <cell r="S399" t="str">
            <v xml:space="preserve">Tot dep eq / Hedge Accounting                     </v>
          </cell>
        </row>
        <row r="400">
          <cell r="Q400" t="str">
            <v>E2199078</v>
          </cell>
          <cell r="R400" t="str">
            <v xml:space="preserve">Sum inns ek / Tilgj. for salg                     </v>
          </cell>
          <cell r="S400" t="str">
            <v xml:space="preserve">Tot dep eq / Available for sale                   </v>
          </cell>
        </row>
        <row r="401">
          <cell r="Q401" t="str">
            <v>E2199079</v>
          </cell>
          <cell r="R401" t="str">
            <v xml:space="preserve">Sum inns ek / Tilgjengelig for sal                </v>
          </cell>
          <cell r="S401" t="str">
            <v xml:space="preserve">Tot dep eq / Tilgjengelig for sal                 </v>
          </cell>
        </row>
        <row r="402">
          <cell r="Q402" t="str">
            <v>E2199080</v>
          </cell>
          <cell r="R402" t="str">
            <v xml:space="preserve">Sum innskutt kap / Annet                          </v>
          </cell>
          <cell r="S402" t="str">
            <v xml:space="preserve">Tot dep eq / Other                                </v>
          </cell>
        </row>
        <row r="403">
          <cell r="Q403" t="str">
            <v>E2199082</v>
          </cell>
          <cell r="R403" t="str">
            <v xml:space="preserve">Sum inns ek / IFRS                                </v>
          </cell>
          <cell r="S403" t="str">
            <v xml:space="preserve">Tot dep eq / IFRS                                 </v>
          </cell>
        </row>
        <row r="404">
          <cell r="Q404" t="str">
            <v>E2199083</v>
          </cell>
          <cell r="R404" t="str">
            <v xml:space="preserve">Sum inns ek / Endring i regn.prins                </v>
          </cell>
          <cell r="S404" t="str">
            <v xml:space="preserve">Tot dep eq / Change acc. principl                 </v>
          </cell>
        </row>
        <row r="405">
          <cell r="Q405" t="str">
            <v>E2199085</v>
          </cell>
          <cell r="R405" t="str">
            <v xml:space="preserve">Sum innskutt kapital / Periodens resultat         </v>
          </cell>
          <cell r="S405" t="str">
            <v xml:space="preserve">Tot dep eq / Net profit                           </v>
          </cell>
        </row>
        <row r="406">
          <cell r="Q406" t="str">
            <v>E2199090</v>
          </cell>
          <cell r="R406" t="str">
            <v xml:space="preserve">Sum innskutt kapital / Omregningsdifferanse       </v>
          </cell>
          <cell r="S406" t="str">
            <v xml:space="preserve">Tot dep eq / Conversion difference                </v>
          </cell>
        </row>
        <row r="407">
          <cell r="Q407" t="str">
            <v>E2199100</v>
          </cell>
          <cell r="R407" t="str">
            <v xml:space="preserve">Sum inns ek / UB eks. omr.diff                    </v>
          </cell>
          <cell r="S407" t="str">
            <v xml:space="preserve">Tot dep eq / CB ex. conv. diff                    </v>
          </cell>
        </row>
        <row r="408">
          <cell r="Q408" t="str">
            <v>E2199EBA</v>
          </cell>
          <cell r="R408" t="str">
            <v xml:space="preserve">Sum inns ek / Utgående Balanse                    </v>
          </cell>
          <cell r="S408" t="str">
            <v xml:space="preserve">Tot dep eq / Closing Balance                      </v>
          </cell>
        </row>
        <row r="409">
          <cell r="Q409" t="str">
            <v>E2199EBC</v>
          </cell>
          <cell r="R409" t="str">
            <v xml:space="preserve">Sum inns ek / UB Omr. diff                        </v>
          </cell>
          <cell r="S409" t="str">
            <v xml:space="preserve">Tot dep eq / CB Conv. Diff                        </v>
          </cell>
        </row>
        <row r="410">
          <cell r="Q410" t="str">
            <v>E2199OBB</v>
          </cell>
          <cell r="R410" t="str">
            <v xml:space="preserve">Sum innskutt kap / IB                             </v>
          </cell>
          <cell r="S410" t="str">
            <v xml:space="preserve">Tot dep eq / OBB                                  </v>
          </cell>
        </row>
        <row r="411">
          <cell r="Q411" t="str">
            <v>E2199OBC</v>
          </cell>
          <cell r="R411" t="str">
            <v xml:space="preserve">Sum inns ek / IB Omr. diff                        </v>
          </cell>
          <cell r="S411" t="str">
            <v xml:space="preserve">Tot dep eq / OB Conv. Diff                        </v>
          </cell>
        </row>
        <row r="412">
          <cell r="Q412" t="str">
            <v>E2200</v>
          </cell>
          <cell r="R412" t="str">
            <v xml:space="preserve">Annen EK Sikringsbokføring                        </v>
          </cell>
          <cell r="S412" t="str">
            <v xml:space="preserve">Annen EK Sikringsbokføring                        </v>
          </cell>
        </row>
        <row r="413">
          <cell r="Q413" t="str">
            <v>E2200015</v>
          </cell>
          <cell r="R413" t="str">
            <v xml:space="preserve">Fond for vurd forskj / Ny EK (til Schibsted ASA)  </v>
          </cell>
          <cell r="S413" t="str">
            <v>Revaluation reserve/ New Equity (to Schibsted ASA)</v>
          </cell>
        </row>
        <row r="414">
          <cell r="Q414" t="str">
            <v>E2200020</v>
          </cell>
          <cell r="R414" t="str">
            <v xml:space="preserve">Fond for vurd forskj /Ny EK (til andre)           </v>
          </cell>
          <cell r="S414" t="str">
            <v xml:space="preserve">Revaluation reserve / New Equity (to others)      </v>
          </cell>
        </row>
        <row r="415">
          <cell r="Q415" t="str">
            <v>E2200030</v>
          </cell>
          <cell r="R415" t="str">
            <v xml:space="preserve">Fond for vurd forskj / Salg egne aksjer (Ansk)    </v>
          </cell>
          <cell r="S415" t="str">
            <v xml:space="preserve">Revaluation reserve / Sale own shares (Purchase)  </v>
          </cell>
        </row>
        <row r="416">
          <cell r="Q416" t="str">
            <v>E2200031</v>
          </cell>
          <cell r="R416" t="str">
            <v xml:space="preserve">Fond for vurd forskj / Kjøp av egne aksjer        </v>
          </cell>
          <cell r="S416" t="str">
            <v xml:space="preserve">Fond / Acq own shares                             </v>
          </cell>
        </row>
        <row r="417">
          <cell r="Q417" t="str">
            <v>E2200032</v>
          </cell>
          <cell r="R417" t="str">
            <v xml:space="preserve">Annen EK Sikringsbok / Gev/tap egne aksjer        </v>
          </cell>
          <cell r="S417" t="str">
            <v xml:space="preserve">Annen EK Sikringsbok / P/L own shares             </v>
          </cell>
        </row>
        <row r="418">
          <cell r="Q418" t="str">
            <v>E2200033</v>
          </cell>
          <cell r="R418" t="str">
            <v xml:space="preserve">Annen EK Sikringsbok / Aksjebasert vederlag       </v>
          </cell>
          <cell r="S418" t="str">
            <v xml:space="preserve">Annen EK Sikringsbok / Aksjebasert vederlag       </v>
          </cell>
        </row>
        <row r="419">
          <cell r="Q419" t="str">
            <v>E2200035</v>
          </cell>
          <cell r="R419" t="str">
            <v xml:space="preserve">Fond for vurd forskj / Kjøp datterselskap         </v>
          </cell>
          <cell r="S419" t="str">
            <v xml:space="preserve">Revaluation reserve / Acquired subsidiaries       </v>
          </cell>
        </row>
        <row r="420">
          <cell r="Q420" t="str">
            <v>E2200040</v>
          </cell>
          <cell r="R420" t="str">
            <v xml:space="preserve">Fond for vurd forskj / Avgang datterselskap       </v>
          </cell>
          <cell r="S420" t="str">
            <v xml:space="preserve">Revaluation reserve / Sale subsidiaries           </v>
          </cell>
        </row>
        <row r="421">
          <cell r="Q421" t="str">
            <v>E2200060</v>
          </cell>
          <cell r="R421" t="str">
            <v>Fond for vurd forskj / Overføring mellom EK- linje</v>
          </cell>
          <cell r="S421" t="str">
            <v xml:space="preserve">Revaluation reserve / Transfer between EQ- items  </v>
          </cell>
        </row>
        <row r="422">
          <cell r="Q422" t="str">
            <v>E2200068</v>
          </cell>
          <cell r="R422" t="str">
            <v xml:space="preserve">Annen EK Sikringsbok / Utbytte (fra ASA)          </v>
          </cell>
          <cell r="S422" t="str">
            <v xml:space="preserve">Annen EK Sikringsbok / Dividend (from ASA)        </v>
          </cell>
        </row>
        <row r="423">
          <cell r="Q423" t="str">
            <v>E2200070</v>
          </cell>
          <cell r="R423" t="str">
            <v xml:space="preserve">Fond for vurd forskj / Utbytte (fra andre)        </v>
          </cell>
          <cell r="S423" t="str">
            <v xml:space="preserve">Revaluation reserve / Dividend (from others)      </v>
          </cell>
        </row>
        <row r="424">
          <cell r="Q424" t="str">
            <v>E2200073</v>
          </cell>
          <cell r="R424" t="str">
            <v xml:space="preserve">Fond for vurd forskj / Konsernbidrag              </v>
          </cell>
          <cell r="S424" t="str">
            <v xml:space="preserve">Revaluation reserve / Group transfer              </v>
          </cell>
        </row>
        <row r="425">
          <cell r="Q425" t="str">
            <v>E2200074</v>
          </cell>
          <cell r="R425" t="str">
            <v xml:space="preserve">Fond for vurd forskj / Resultatelementer mot EK   </v>
          </cell>
          <cell r="S425" t="str">
            <v xml:space="preserve">Revaluation reserve/  PL items against Equity     </v>
          </cell>
        </row>
        <row r="426">
          <cell r="Q426" t="str">
            <v>E2200076</v>
          </cell>
          <cell r="R426" t="str">
            <v xml:space="preserve">Annen EK Sikringsbok / Sikringsbokføring -g       </v>
          </cell>
          <cell r="S426" t="str">
            <v xml:space="preserve">Annen EK Sikringsbok / Sikringsbokføring -g       </v>
          </cell>
        </row>
        <row r="427">
          <cell r="Q427" t="str">
            <v>E2200077</v>
          </cell>
          <cell r="R427" t="str">
            <v xml:space="preserve">Annen EK Sikringsbok / Sikringsbokføring -g       </v>
          </cell>
          <cell r="S427" t="str">
            <v xml:space="preserve">Annen EK Sikringsbok / Sikringsbokføring -g       </v>
          </cell>
        </row>
        <row r="428">
          <cell r="Q428" t="str">
            <v>E2200078</v>
          </cell>
          <cell r="R428" t="str">
            <v xml:space="preserve">Annen EK Sikringsbok / Tilgj. for salg            </v>
          </cell>
          <cell r="S428" t="str">
            <v xml:space="preserve">Annen EK Sikringsbok / Available for sale         </v>
          </cell>
        </row>
        <row r="429">
          <cell r="Q429" t="str">
            <v>E2200079</v>
          </cell>
          <cell r="R429" t="str">
            <v xml:space="preserve">Annen EK Sikringsbok / Tilgjengelig for sal       </v>
          </cell>
          <cell r="S429" t="str">
            <v xml:space="preserve">Annen EK Sikringsbok / Tilgjengelig for sal       </v>
          </cell>
        </row>
        <row r="430">
          <cell r="Q430" t="str">
            <v>E2200080</v>
          </cell>
          <cell r="R430" t="str">
            <v xml:space="preserve">Fond for vurd forskj / Annet                      </v>
          </cell>
          <cell r="S430" t="str">
            <v xml:space="preserve">Revaluation reserve / Other                       </v>
          </cell>
        </row>
        <row r="431">
          <cell r="Q431" t="str">
            <v>E2200082</v>
          </cell>
          <cell r="R431" t="str">
            <v xml:space="preserve">Annen EK Sikringsbok / IFRS                       </v>
          </cell>
          <cell r="S431" t="str">
            <v xml:space="preserve">Annen EK Sikringsbok / IFRS                       </v>
          </cell>
        </row>
        <row r="432">
          <cell r="Q432" t="str">
            <v>E2200083</v>
          </cell>
          <cell r="R432" t="str">
            <v xml:space="preserve">Annen EK Sikringsbok / Endr regnsk.prinsipp       </v>
          </cell>
          <cell r="S432" t="str">
            <v xml:space="preserve">Annen EK Sikringsbok / Endr regnsk.prinsipp       </v>
          </cell>
        </row>
        <row r="433">
          <cell r="Q433" t="str">
            <v>E2200085</v>
          </cell>
          <cell r="R433" t="str">
            <v xml:space="preserve">Fond for vurd forskj / Periodens resultat         </v>
          </cell>
          <cell r="S433" t="str">
            <v xml:space="preserve">Revaluation reserve / Net prof                    </v>
          </cell>
        </row>
        <row r="434">
          <cell r="Q434" t="str">
            <v>E2200087</v>
          </cell>
          <cell r="R434" t="str">
            <v>Fond for vurd forskj / Periodens resultat - årsreg</v>
          </cell>
          <cell r="S434" t="str">
            <v xml:space="preserve">Revaluation reserve / Net prof - transfer         </v>
          </cell>
        </row>
        <row r="435">
          <cell r="Q435" t="str">
            <v>E2200090</v>
          </cell>
          <cell r="R435" t="str">
            <v xml:space="preserve">Fond for vurd forskj / Omregningsdifferanse       </v>
          </cell>
          <cell r="S435" t="str">
            <v xml:space="preserve">Fond / Conversion diff                            </v>
          </cell>
        </row>
        <row r="436">
          <cell r="Q436" t="str">
            <v>E2200100</v>
          </cell>
          <cell r="R436" t="str">
            <v xml:space="preserve">Annen EK Sikringsbok / UB eks. omr.diff           </v>
          </cell>
          <cell r="S436" t="str">
            <v xml:space="preserve">Annen EK Sikringsbok / CB ex. conv. diff          </v>
          </cell>
        </row>
        <row r="437">
          <cell r="Q437" t="str">
            <v>E2200EBA</v>
          </cell>
          <cell r="R437" t="str">
            <v xml:space="preserve">Annen EK Sikringsbok / Utgående Balanse           </v>
          </cell>
          <cell r="S437" t="str">
            <v xml:space="preserve">Annen EK Sikringsbok / Closing Balance            </v>
          </cell>
        </row>
        <row r="438">
          <cell r="Q438" t="str">
            <v>E2200EBC</v>
          </cell>
          <cell r="R438" t="str">
            <v xml:space="preserve">Annen EK Sikringsbok / UB Omr. diff               </v>
          </cell>
          <cell r="S438" t="str">
            <v xml:space="preserve">Annen EK Sikringsbok / CB Conv. Diff              </v>
          </cell>
        </row>
        <row r="439">
          <cell r="Q439" t="str">
            <v>E2200OBB</v>
          </cell>
          <cell r="R439" t="str">
            <v xml:space="preserve">Fond for vurd forskj / IB                         </v>
          </cell>
          <cell r="S439" t="str">
            <v xml:space="preserve">Revaluation reserve / OBB                         </v>
          </cell>
        </row>
        <row r="440">
          <cell r="Q440" t="str">
            <v>E2200OBC</v>
          </cell>
          <cell r="R440" t="str">
            <v xml:space="preserve">Annen EK Sikringsbok / IB Omr. diff               </v>
          </cell>
          <cell r="S440" t="str">
            <v xml:space="preserve">Annen EK Sikringsbok / OB Conv. Diff              </v>
          </cell>
        </row>
        <row r="441">
          <cell r="Q441" t="str">
            <v>E2210</v>
          </cell>
          <cell r="R441" t="str">
            <v xml:space="preserve">Tilbakeholdt resultat                             </v>
          </cell>
          <cell r="S441" t="str">
            <v xml:space="preserve">Retained earnings                                 </v>
          </cell>
        </row>
        <row r="442">
          <cell r="Q442" t="str">
            <v>E2210015</v>
          </cell>
          <cell r="R442" t="str">
            <v xml:space="preserve">Annen egenkapital / NY EK (til Schibsted ASA)     </v>
          </cell>
          <cell r="S442" t="str">
            <v xml:space="preserve">Retain earnings / New Equity (to Schibsted ASA)   </v>
          </cell>
        </row>
        <row r="443">
          <cell r="Q443" t="str">
            <v>E2210020</v>
          </cell>
          <cell r="R443" t="str">
            <v xml:space="preserve">Annen egenkapital / Ny EK (til andre)             </v>
          </cell>
          <cell r="S443" t="str">
            <v xml:space="preserve">Retain earnings /Ny Equity (to others)            </v>
          </cell>
        </row>
        <row r="444">
          <cell r="Q444" t="str">
            <v>E2210030</v>
          </cell>
          <cell r="R444" t="str">
            <v xml:space="preserve">Annen egenkapital / Salg egne aksjer (Ansk.)      </v>
          </cell>
          <cell r="S444" t="str">
            <v xml:space="preserve">Retain earnings / Sale own shares (Purchase cost) </v>
          </cell>
        </row>
        <row r="445">
          <cell r="Q445" t="str">
            <v>E2210031</v>
          </cell>
          <cell r="R445" t="str">
            <v xml:space="preserve">Annen egenkapital / Kjøp av egne aksjer           </v>
          </cell>
          <cell r="S445" t="str">
            <v xml:space="preserve">Ret earn / Acq own shares                         </v>
          </cell>
        </row>
        <row r="446">
          <cell r="Q446" t="str">
            <v>E2210032</v>
          </cell>
          <cell r="R446" t="str">
            <v xml:space="preserve">Tilbakeholdt res / Gev/tap egne aksjer            </v>
          </cell>
          <cell r="S446" t="str">
            <v xml:space="preserve">Retained earnings / P/L own shares                </v>
          </cell>
        </row>
        <row r="447">
          <cell r="Q447" t="str">
            <v>E2210033</v>
          </cell>
          <cell r="R447" t="str">
            <v xml:space="preserve">Tilbakeholdt res / Aksjebasert vederlag           </v>
          </cell>
          <cell r="S447" t="str">
            <v xml:space="preserve">Retained earnings / Aksjebasert vederlag          </v>
          </cell>
        </row>
        <row r="448">
          <cell r="Q448" t="str">
            <v>E2210035</v>
          </cell>
          <cell r="R448" t="str">
            <v xml:space="preserve">Annen egenkapital / Tilgang datterselskap         </v>
          </cell>
          <cell r="S448" t="str">
            <v xml:space="preserve">Retain earnings / Acquired subsidiaries           </v>
          </cell>
        </row>
        <row r="449">
          <cell r="Q449" t="str">
            <v>E2210040</v>
          </cell>
          <cell r="R449" t="str">
            <v xml:space="preserve">Annen egenkapital / Avgang datterselskap          </v>
          </cell>
          <cell r="S449" t="str">
            <v xml:space="preserve">Retain earnings / Sale subsidiaries               </v>
          </cell>
        </row>
        <row r="450">
          <cell r="Q450" t="str">
            <v>E2210060</v>
          </cell>
          <cell r="R450" t="str">
            <v>Annen egenkapital / Overføringer mellom EK- linjer</v>
          </cell>
          <cell r="S450" t="str">
            <v xml:space="preserve">Retain earnings / Transfer between EQ- items      </v>
          </cell>
        </row>
        <row r="451">
          <cell r="Q451" t="str">
            <v>E2210068</v>
          </cell>
          <cell r="R451" t="str">
            <v xml:space="preserve">Tilbakeholdt res / Utbytte (fra ASA)              </v>
          </cell>
          <cell r="S451" t="str">
            <v xml:space="preserve">Retained earnings / Dividend (from ASA)           </v>
          </cell>
        </row>
        <row r="452">
          <cell r="Q452" t="str">
            <v>E2210070</v>
          </cell>
          <cell r="R452" t="str">
            <v xml:space="preserve">Annen egenkapital / Utbytte (fra andre)           </v>
          </cell>
          <cell r="S452" t="str">
            <v xml:space="preserve">Retain earnings / Dividend (from others)          </v>
          </cell>
        </row>
        <row r="453">
          <cell r="Q453" t="str">
            <v>E2210073</v>
          </cell>
          <cell r="R453" t="str">
            <v xml:space="preserve">Annen egenkapital / Konsernbidrag                 </v>
          </cell>
          <cell r="S453" t="str">
            <v xml:space="preserve">Retain earnings / Group transfer                  </v>
          </cell>
        </row>
        <row r="454">
          <cell r="Q454" t="str">
            <v>E2210074</v>
          </cell>
          <cell r="R454" t="str">
            <v xml:space="preserve">Annen egenkapital / Resultatelementer mot EK      </v>
          </cell>
          <cell r="S454" t="str">
            <v xml:space="preserve">Retain earnings /  PL items against Equity        </v>
          </cell>
        </row>
        <row r="455">
          <cell r="Q455" t="str">
            <v>E2210076</v>
          </cell>
          <cell r="R455" t="str">
            <v xml:space="preserve">Tilbakeholdt res / Sikringsbokføring -g           </v>
          </cell>
          <cell r="S455" t="str">
            <v xml:space="preserve">Retained earnings / Sikringsbokføring -g          </v>
          </cell>
        </row>
        <row r="456">
          <cell r="Q456" t="str">
            <v>E2210077</v>
          </cell>
          <cell r="R456" t="str">
            <v xml:space="preserve">Tilbakeholdt res / Sikringsbokføring -g           </v>
          </cell>
          <cell r="S456" t="str">
            <v xml:space="preserve">Retained earnings / Sikringsbokføring -g          </v>
          </cell>
        </row>
        <row r="457">
          <cell r="Q457" t="str">
            <v>E2210078</v>
          </cell>
          <cell r="R457" t="str">
            <v xml:space="preserve">Tilbakeholdt res / Tilgj. for salg                </v>
          </cell>
          <cell r="S457" t="str">
            <v xml:space="preserve">Retained earnings / Available for sale            </v>
          </cell>
        </row>
        <row r="458">
          <cell r="Q458" t="str">
            <v>E2210079</v>
          </cell>
          <cell r="R458" t="str">
            <v xml:space="preserve">Tilbakeholdt res / Tilgjengelig for sal           </v>
          </cell>
          <cell r="S458" t="str">
            <v xml:space="preserve">Retained earnings / Tilgjengelig for sal          </v>
          </cell>
        </row>
        <row r="459">
          <cell r="Q459" t="str">
            <v>E2210080</v>
          </cell>
          <cell r="R459" t="str">
            <v xml:space="preserve">Annen egenkapital / Annet                         </v>
          </cell>
          <cell r="S459" t="str">
            <v xml:space="preserve">Retain earnings / Other                           </v>
          </cell>
        </row>
        <row r="460">
          <cell r="Q460" t="str">
            <v>E2210082</v>
          </cell>
          <cell r="R460" t="str">
            <v xml:space="preserve">Tilbakeholdt res / IFRS                           </v>
          </cell>
          <cell r="S460" t="str">
            <v xml:space="preserve">Retained earnings / IFRS                          </v>
          </cell>
        </row>
        <row r="461">
          <cell r="Q461" t="str">
            <v>E2210083</v>
          </cell>
          <cell r="R461" t="str">
            <v xml:space="preserve">Tilbakeholdt res / Endring i regn.prinsipp        </v>
          </cell>
          <cell r="S461" t="str">
            <v xml:space="preserve">Retained earnings / Change acc. principl          </v>
          </cell>
        </row>
        <row r="462">
          <cell r="Q462" t="str">
            <v>E2210085</v>
          </cell>
          <cell r="R462" t="str">
            <v xml:space="preserve">Annen egenkapital / Periodens resultat            </v>
          </cell>
          <cell r="S462" t="str">
            <v xml:space="preserve">Retain earnings / Net profit                      </v>
          </cell>
        </row>
        <row r="463">
          <cell r="Q463" t="str">
            <v>E2210087</v>
          </cell>
          <cell r="R463" t="str">
            <v xml:space="preserve">Annen egenkapital / Periodens resultat - årsreg   </v>
          </cell>
          <cell r="S463" t="str">
            <v xml:space="preserve">Retain earnings / Net profit - transfer           </v>
          </cell>
        </row>
        <row r="464">
          <cell r="Q464" t="str">
            <v>E2210090</v>
          </cell>
          <cell r="R464" t="str">
            <v xml:space="preserve">Annen egenkapital / Omregningsdifferanse          </v>
          </cell>
          <cell r="S464" t="str">
            <v xml:space="preserve">Ret earn / Conversion diff                        </v>
          </cell>
        </row>
        <row r="465">
          <cell r="Q465" t="str">
            <v>E2210100</v>
          </cell>
          <cell r="R465" t="str">
            <v xml:space="preserve">Tilbakeholdt res / UB eks. omr.diff               </v>
          </cell>
          <cell r="S465" t="str">
            <v xml:space="preserve">Retained earnings / CB ex. conv. diff             </v>
          </cell>
        </row>
        <row r="466">
          <cell r="Q466" t="str">
            <v>E2210EBA</v>
          </cell>
          <cell r="R466" t="str">
            <v xml:space="preserve">Tilbakeholdt res / Utgående Balanse               </v>
          </cell>
          <cell r="S466" t="str">
            <v xml:space="preserve">Retained earnings / Closing Balance               </v>
          </cell>
        </row>
        <row r="467">
          <cell r="Q467" t="str">
            <v>E2210EBC</v>
          </cell>
          <cell r="R467" t="str">
            <v xml:space="preserve">Tilbakeholdt res / UB Omr. diff                   </v>
          </cell>
          <cell r="S467" t="str">
            <v xml:space="preserve">Retained earnings / CB Conv. Diff                 </v>
          </cell>
        </row>
        <row r="468">
          <cell r="Q468" t="str">
            <v>E2210OBB</v>
          </cell>
          <cell r="R468" t="str">
            <v xml:space="preserve">Annen egenkapital / IB                            </v>
          </cell>
          <cell r="S468" t="str">
            <v xml:space="preserve">Retain earnings / OBB                             </v>
          </cell>
        </row>
        <row r="469">
          <cell r="Q469" t="str">
            <v>E2210OBC</v>
          </cell>
          <cell r="R469" t="str">
            <v xml:space="preserve">Tilbakeholdt res / IB Omr. diff                   </v>
          </cell>
          <cell r="S469" t="str">
            <v xml:space="preserve">Retained earnings / OB Conv. Diff                 </v>
          </cell>
        </row>
        <row r="470">
          <cell r="Q470" t="str">
            <v>E2214</v>
          </cell>
          <cell r="R470" t="str">
            <v xml:space="preserve">Bokført omr diff                                  </v>
          </cell>
          <cell r="S470" t="str">
            <v xml:space="preserve">Booked conv diff                                  </v>
          </cell>
        </row>
        <row r="471">
          <cell r="Q471" t="str">
            <v>E2214015</v>
          </cell>
          <cell r="R471" t="str">
            <v xml:space="preserve">Bokf omr diff / Ny EK (til ASA)                   </v>
          </cell>
          <cell r="S471" t="str">
            <v xml:space="preserve">Booked cta / New Equity (to ASA)                  </v>
          </cell>
        </row>
        <row r="472">
          <cell r="Q472" t="str">
            <v>E2214020</v>
          </cell>
          <cell r="R472" t="str">
            <v xml:space="preserve">Bokf omr diff / NY EK (Andre)                     </v>
          </cell>
          <cell r="S472" t="str">
            <v xml:space="preserve">Booked cta / New Equity (Other)                   </v>
          </cell>
        </row>
        <row r="473">
          <cell r="Q473" t="str">
            <v>E2214030</v>
          </cell>
          <cell r="R473" t="str">
            <v xml:space="preserve">Bokf omr diff / Salg av egne aksjer               </v>
          </cell>
          <cell r="S473" t="str">
            <v xml:space="preserve">Booked cta / Sale own shares                      </v>
          </cell>
        </row>
        <row r="474">
          <cell r="Q474" t="str">
            <v>E2214031</v>
          </cell>
          <cell r="R474" t="str">
            <v xml:space="preserve">Bokf omr diff / Kjøp av egen aksjer               </v>
          </cell>
          <cell r="S474" t="str">
            <v xml:space="preserve">Booked cta / Purchase own shares                  </v>
          </cell>
        </row>
        <row r="475">
          <cell r="Q475" t="str">
            <v>E2214032</v>
          </cell>
          <cell r="R475" t="str">
            <v xml:space="preserve">Bokf omr diff / Gev/tap egne aksjer               </v>
          </cell>
          <cell r="S475" t="str">
            <v xml:space="preserve">Booked cta / P/L own shares                       </v>
          </cell>
        </row>
        <row r="476">
          <cell r="Q476" t="str">
            <v>E2214033</v>
          </cell>
          <cell r="R476" t="str">
            <v xml:space="preserve">Bokf omr diff / Aksjebasert vederlag              </v>
          </cell>
          <cell r="S476" t="str">
            <v xml:space="preserve">Booked cta / Compensation based o                 </v>
          </cell>
        </row>
        <row r="477">
          <cell r="Q477" t="str">
            <v>E2214035</v>
          </cell>
          <cell r="R477" t="str">
            <v xml:space="preserve">Bokf omr diff / Tilgang datterselsk.              </v>
          </cell>
          <cell r="S477" t="str">
            <v xml:space="preserve">Booked cta / Acquired comp                        </v>
          </cell>
        </row>
        <row r="478">
          <cell r="Q478" t="str">
            <v>E2214040</v>
          </cell>
          <cell r="R478" t="str">
            <v xml:space="preserve">Bokf omr diff / Avgang datterselsk.               </v>
          </cell>
          <cell r="S478" t="str">
            <v xml:space="preserve">Booked cta / Sold companies                       </v>
          </cell>
        </row>
        <row r="479">
          <cell r="Q479" t="str">
            <v>E2214060</v>
          </cell>
          <cell r="R479" t="str">
            <v xml:space="preserve">Bokf omr diff / Overføringer                      </v>
          </cell>
          <cell r="S479" t="str">
            <v xml:space="preserve">Booked cta / Transfers                            </v>
          </cell>
        </row>
        <row r="480">
          <cell r="Q480" t="str">
            <v>E2214068</v>
          </cell>
          <cell r="R480" t="str">
            <v xml:space="preserve">Bokf omr diff / Utbytte (fra ASA)                 </v>
          </cell>
          <cell r="S480" t="str">
            <v xml:space="preserve">Booked cta / Dividend (by ASA)                    </v>
          </cell>
        </row>
        <row r="481">
          <cell r="Q481" t="str">
            <v>E2214070</v>
          </cell>
          <cell r="R481" t="str">
            <v xml:space="preserve">Bokf omr diff / Utbytte (Andre)                   </v>
          </cell>
          <cell r="S481" t="str">
            <v xml:space="preserve">Booked cta / Dividend (Other)                     </v>
          </cell>
        </row>
        <row r="482">
          <cell r="Q482" t="str">
            <v>E2214073</v>
          </cell>
          <cell r="R482" t="str">
            <v xml:space="preserve">Bokf omr diff / Konsernbidrag                     </v>
          </cell>
          <cell r="S482" t="str">
            <v xml:space="preserve">Booked cta / Group Contribution                   </v>
          </cell>
        </row>
        <row r="483">
          <cell r="Q483" t="str">
            <v>E2214074</v>
          </cell>
          <cell r="R483" t="str">
            <v xml:space="preserve">Bokf omr diff / Res.element mot EK                </v>
          </cell>
          <cell r="S483" t="str">
            <v xml:space="preserve">Booked cta / PL items against Equ                 </v>
          </cell>
        </row>
        <row r="484">
          <cell r="Q484" t="str">
            <v>E2214076</v>
          </cell>
          <cell r="R484" t="str">
            <v xml:space="preserve">Bokf omr diff / Sikringsbokføring -g              </v>
          </cell>
          <cell r="S484" t="str">
            <v xml:space="preserve">Booked cta / Hedge Accounting                     </v>
          </cell>
        </row>
        <row r="485">
          <cell r="Q485" t="str">
            <v>E2214077</v>
          </cell>
          <cell r="R485" t="str">
            <v xml:space="preserve">Bokf omr diff / Sikringsbokføring -g              </v>
          </cell>
          <cell r="S485" t="str">
            <v xml:space="preserve">Booked cta / Hedge Accounting                     </v>
          </cell>
        </row>
        <row r="486">
          <cell r="Q486" t="str">
            <v>E2214078</v>
          </cell>
          <cell r="R486" t="str">
            <v xml:space="preserve">Bokf omr diff / Tilgj. for salg                   </v>
          </cell>
          <cell r="S486" t="str">
            <v xml:space="preserve">Booked cta / Available for sale                   </v>
          </cell>
        </row>
        <row r="487">
          <cell r="Q487" t="str">
            <v>E2214079</v>
          </cell>
          <cell r="R487" t="str">
            <v xml:space="preserve">Bokf omr diff / Tilgjengelig for sal              </v>
          </cell>
          <cell r="S487" t="str">
            <v xml:space="preserve">Booked cta / Tilgjengelig for sal                 </v>
          </cell>
        </row>
        <row r="488">
          <cell r="Q488" t="str">
            <v>E2214080</v>
          </cell>
          <cell r="R488" t="str">
            <v xml:space="preserve">Bokf omr diff / Annet                             </v>
          </cell>
          <cell r="S488" t="str">
            <v xml:space="preserve">Booked cta / Other                                </v>
          </cell>
        </row>
        <row r="489">
          <cell r="Q489" t="str">
            <v>E2214082</v>
          </cell>
          <cell r="R489" t="str">
            <v xml:space="preserve">Bokf omr diff / IFRS                              </v>
          </cell>
          <cell r="S489" t="str">
            <v xml:space="preserve">Booked cta / IFRS                                 </v>
          </cell>
        </row>
        <row r="490">
          <cell r="Q490" t="str">
            <v>E2214083</v>
          </cell>
          <cell r="R490" t="str">
            <v xml:space="preserve">Bokf omr diff / Endring i regn.prins              </v>
          </cell>
          <cell r="S490" t="str">
            <v xml:space="preserve">Booked cta / Change acc. principl                 </v>
          </cell>
        </row>
        <row r="491">
          <cell r="Q491" t="str">
            <v>E2214085</v>
          </cell>
          <cell r="R491" t="str">
            <v xml:space="preserve">Bokf omr diff / Periodens resultat                </v>
          </cell>
          <cell r="S491" t="str">
            <v xml:space="preserve">Booked cta / Net profit                           </v>
          </cell>
        </row>
        <row r="492">
          <cell r="Q492" t="str">
            <v>E2214090</v>
          </cell>
          <cell r="R492" t="str">
            <v xml:space="preserve">Bokf omr diff / Omregningsdifferanse              </v>
          </cell>
          <cell r="S492" t="str">
            <v xml:space="preserve">Booked cta / Conversion diff                      </v>
          </cell>
        </row>
        <row r="493">
          <cell r="Q493" t="str">
            <v>E2214100</v>
          </cell>
          <cell r="R493" t="str">
            <v xml:space="preserve">Bokf omr diff / UB eks. omr.diff                  </v>
          </cell>
          <cell r="S493" t="str">
            <v xml:space="preserve">Booked cta / CB ex. conv. diff                    </v>
          </cell>
        </row>
        <row r="494">
          <cell r="Q494" t="str">
            <v>E2214EBA</v>
          </cell>
          <cell r="R494" t="str">
            <v xml:space="preserve">Bokf omr diff / Utgående Balanse                  </v>
          </cell>
          <cell r="S494" t="str">
            <v xml:space="preserve">Booked cta / Closing Balance                      </v>
          </cell>
        </row>
        <row r="495">
          <cell r="Q495" t="str">
            <v>E2214EBC</v>
          </cell>
          <cell r="R495" t="str">
            <v xml:space="preserve">Bokf omr diff / UB Omr. diff                      </v>
          </cell>
          <cell r="S495" t="str">
            <v xml:space="preserve">Booked cta / CB Conv. Diff                        </v>
          </cell>
        </row>
        <row r="496">
          <cell r="Q496" t="str">
            <v>E2214OBB</v>
          </cell>
          <cell r="R496" t="str">
            <v xml:space="preserve">Bokf omr diff / IB                                </v>
          </cell>
          <cell r="S496" t="str">
            <v xml:space="preserve">Booked cta / OB                                   </v>
          </cell>
        </row>
        <row r="497">
          <cell r="Q497" t="str">
            <v>E2214OBC</v>
          </cell>
          <cell r="R497" t="str">
            <v xml:space="preserve">Bokf omr diff / IB Omr. diff                      </v>
          </cell>
          <cell r="S497" t="str">
            <v xml:space="preserve">Booked cta / OB Conv. Diff                        </v>
          </cell>
        </row>
        <row r="498">
          <cell r="Q498" t="str">
            <v>E2220</v>
          </cell>
          <cell r="R498" t="str">
            <v xml:space="preserve">Periodens resultat                                </v>
          </cell>
          <cell r="S498" t="str">
            <v xml:space="preserve">Net profit                                        </v>
          </cell>
        </row>
        <row r="499">
          <cell r="Q499" t="str">
            <v>E2220015</v>
          </cell>
          <cell r="R499" t="str">
            <v xml:space="preserve">Periodens resultat / Nyemisjon                    </v>
          </cell>
          <cell r="S499" t="str">
            <v xml:space="preserve">Net profit / New capital                          </v>
          </cell>
        </row>
        <row r="500">
          <cell r="Q500" t="str">
            <v>E2220020</v>
          </cell>
          <cell r="R500" t="str">
            <v xml:space="preserve">Periodens resultat / Fondemisjon                  </v>
          </cell>
          <cell r="S500" t="str">
            <v xml:space="preserve">Net profit / Stock dividend                       </v>
          </cell>
        </row>
        <row r="501">
          <cell r="Q501" t="str">
            <v>E2220030</v>
          </cell>
          <cell r="R501" t="str">
            <v xml:space="preserve">Periodens resultat / Nedskrivninger               </v>
          </cell>
          <cell r="S501" t="str">
            <v xml:space="preserve">Net profit / Revaluations                         </v>
          </cell>
        </row>
        <row r="502">
          <cell r="Q502" t="str">
            <v>E2220060</v>
          </cell>
          <cell r="R502" t="str">
            <v xml:space="preserve">Periodens resultat / Overføringer                 </v>
          </cell>
          <cell r="S502" t="str">
            <v xml:space="preserve">Net profit / Transfer                             </v>
          </cell>
        </row>
        <row r="503">
          <cell r="Q503" t="str">
            <v>E2220070</v>
          </cell>
          <cell r="R503" t="str">
            <v xml:space="preserve">Periodens resultat / Utbytte                      </v>
          </cell>
          <cell r="S503" t="str">
            <v xml:space="preserve">Net profit / Dividend                             </v>
          </cell>
        </row>
        <row r="504">
          <cell r="Q504" t="str">
            <v>E2220080</v>
          </cell>
          <cell r="R504" t="str">
            <v xml:space="preserve">Periodens resultat / Annet                        </v>
          </cell>
          <cell r="S504" t="str">
            <v xml:space="preserve">Net profit / Other                                </v>
          </cell>
        </row>
        <row r="505">
          <cell r="Q505" t="str">
            <v>E2220090</v>
          </cell>
          <cell r="R505" t="str">
            <v xml:space="preserve">Periodens resultat / Omregningsdifferanse         </v>
          </cell>
          <cell r="S505" t="str">
            <v xml:space="preserve">Net profit / Conversion diff                      </v>
          </cell>
        </row>
        <row r="506">
          <cell r="Q506" t="str">
            <v>E2220OBB</v>
          </cell>
          <cell r="R506" t="str">
            <v xml:space="preserve">Periodens resultat / IB                           </v>
          </cell>
          <cell r="S506" t="str">
            <v xml:space="preserve">Net profit / OBB                                  </v>
          </cell>
        </row>
        <row r="507">
          <cell r="Q507" t="str">
            <v>E2230</v>
          </cell>
          <cell r="R507" t="str">
            <v xml:space="preserve">Tilgjengelig for salg investeringer               </v>
          </cell>
          <cell r="S507" t="str">
            <v xml:space="preserve">Tilgjengelig for salg investeringer               </v>
          </cell>
        </row>
        <row r="508">
          <cell r="Q508" t="str">
            <v>E2230015</v>
          </cell>
          <cell r="R508" t="str">
            <v xml:space="preserve">Tilgjengelig for sal / Ny EK (til ASA)            </v>
          </cell>
          <cell r="S508" t="str">
            <v xml:space="preserve">Tilgjengelig for sal / New Equity (to ASA)        </v>
          </cell>
        </row>
        <row r="509">
          <cell r="Q509" t="str">
            <v>E2230020</v>
          </cell>
          <cell r="R509" t="str">
            <v xml:space="preserve">Tilgjengelig for sal / NY EK (til andre)          </v>
          </cell>
          <cell r="S509" t="str">
            <v xml:space="preserve">Tilgjengelig for sal / New Equity (to other)      </v>
          </cell>
        </row>
        <row r="510">
          <cell r="Q510" t="str">
            <v>E2230030</v>
          </cell>
          <cell r="R510" t="str">
            <v>Tilgjengelig for sal / Salg av egne aksjer (Ansk.)</v>
          </cell>
          <cell r="S510" t="str">
            <v xml:space="preserve">Tilgjengelig for sal / Sale own shares (Purchase) </v>
          </cell>
        </row>
        <row r="511">
          <cell r="Q511" t="str">
            <v>E2230031</v>
          </cell>
          <cell r="R511" t="str">
            <v xml:space="preserve">Tilgjengelig for sal / Kjøp av egen aksjer        </v>
          </cell>
          <cell r="S511" t="str">
            <v xml:space="preserve">Tilgjengelig for sal / Purchase own shares        </v>
          </cell>
        </row>
        <row r="512">
          <cell r="Q512" t="str">
            <v>E2230032</v>
          </cell>
          <cell r="R512" t="str">
            <v xml:space="preserve">Tilgjengelig for sal / Gev/tap egne aksjer        </v>
          </cell>
          <cell r="S512" t="str">
            <v xml:space="preserve">Tilgjengelig for sal / P/L own shares             </v>
          </cell>
        </row>
        <row r="513">
          <cell r="Q513" t="str">
            <v>E2230033</v>
          </cell>
          <cell r="R513" t="str">
            <v xml:space="preserve">Tilgjengelig for sal / Aksjebasert vederlag       </v>
          </cell>
          <cell r="S513" t="str">
            <v xml:space="preserve">Tilgjengelig for sal / Aksjebasert vederlag       </v>
          </cell>
        </row>
        <row r="514">
          <cell r="Q514" t="str">
            <v>E2230035</v>
          </cell>
          <cell r="R514" t="str">
            <v xml:space="preserve">Tilgjengelig for sal / Tilgang datterselsk.       </v>
          </cell>
          <cell r="S514" t="str">
            <v xml:space="preserve">Tilgjengelig for sal / Acquired subsidiaries      </v>
          </cell>
        </row>
        <row r="515">
          <cell r="Q515" t="str">
            <v>E2230040</v>
          </cell>
          <cell r="R515" t="str">
            <v xml:space="preserve">Tilgjengelig for sal / Avgang datterselsk.        </v>
          </cell>
          <cell r="S515" t="str">
            <v xml:space="preserve">Tilgjengelig for sal / Sold subsidiaries          </v>
          </cell>
        </row>
        <row r="516">
          <cell r="Q516" t="str">
            <v>E2230060</v>
          </cell>
          <cell r="R516" t="str">
            <v>Tilgjengelig for sal / Overføringer mellom EK- lin</v>
          </cell>
          <cell r="S516" t="str">
            <v xml:space="preserve">Tilgjengelig for sal / Transfer between EQ- items </v>
          </cell>
        </row>
        <row r="517">
          <cell r="Q517" t="str">
            <v>E2230068</v>
          </cell>
          <cell r="R517" t="str">
            <v xml:space="preserve">Tilgjengelig for sal / Utbytte (fra ASA)          </v>
          </cell>
          <cell r="S517" t="str">
            <v xml:space="preserve">Tilgjengelig for sal / Dividend (by ASA)          </v>
          </cell>
        </row>
        <row r="518">
          <cell r="Q518" t="str">
            <v>E2230070</v>
          </cell>
          <cell r="R518" t="str">
            <v xml:space="preserve">Tilgjengelig for sal / Utbytte (fra andre)        </v>
          </cell>
          <cell r="S518" t="str">
            <v xml:space="preserve">Tilgjengelig for sal / Dividend (from other)      </v>
          </cell>
        </row>
        <row r="519">
          <cell r="Q519" t="str">
            <v>E2230073</v>
          </cell>
          <cell r="R519" t="str">
            <v xml:space="preserve">Tilgjengelig for sal / Konsernbidrag              </v>
          </cell>
          <cell r="S519" t="str">
            <v xml:space="preserve">Tilgjengelig for sal / Group Contribution         </v>
          </cell>
        </row>
        <row r="520">
          <cell r="Q520" t="str">
            <v>E2230074</v>
          </cell>
          <cell r="R520" t="str">
            <v xml:space="preserve">Tilgjengelig for sal / Res.element mot EK         </v>
          </cell>
          <cell r="S520" t="str">
            <v xml:space="preserve">Tilgjengelig for sal / PL items against EK        </v>
          </cell>
        </row>
        <row r="521">
          <cell r="Q521" t="str">
            <v>E2230076</v>
          </cell>
          <cell r="R521" t="str">
            <v xml:space="preserve">Tilgjengelig for sal / Sikringsbokføring -g       </v>
          </cell>
          <cell r="S521" t="str">
            <v xml:space="preserve">Tilgjengelig for sal / Sikringsbokføring -g       </v>
          </cell>
        </row>
        <row r="522">
          <cell r="Q522" t="str">
            <v>E2230077</v>
          </cell>
          <cell r="R522" t="str">
            <v xml:space="preserve">Tilgjengelig for sal / Sikringsbokføring -g       </v>
          </cell>
          <cell r="S522" t="str">
            <v xml:space="preserve">Tilgjengelig for sal / Sikringsbokføring -g       </v>
          </cell>
        </row>
        <row r="523">
          <cell r="Q523" t="str">
            <v>E2230078</v>
          </cell>
          <cell r="R523" t="str">
            <v xml:space="preserve">Tilgjengelig for sal / Tilgj. for salg            </v>
          </cell>
          <cell r="S523" t="str">
            <v xml:space="preserve">Tilgjengelig for sal / Available for sale         </v>
          </cell>
        </row>
        <row r="524">
          <cell r="Q524" t="str">
            <v>E2230079</v>
          </cell>
          <cell r="R524" t="str">
            <v xml:space="preserve">Tilgjengelig for sal / Tilgjengelig for sal       </v>
          </cell>
          <cell r="S524" t="str">
            <v xml:space="preserve">Tilgjengelig for sal / Tilgjengelig for sal       </v>
          </cell>
        </row>
        <row r="525">
          <cell r="Q525" t="str">
            <v>E2230080</v>
          </cell>
          <cell r="R525" t="str">
            <v xml:space="preserve">Tilgjengelig for sal / Annet                      </v>
          </cell>
          <cell r="S525" t="str">
            <v xml:space="preserve">Tilgjengelig for sal / Other                      </v>
          </cell>
        </row>
        <row r="526">
          <cell r="Q526" t="str">
            <v>E2230082</v>
          </cell>
          <cell r="R526" t="str">
            <v xml:space="preserve">Tilgjengelig for sal / IFRS                       </v>
          </cell>
          <cell r="S526" t="str">
            <v xml:space="preserve">Tilgjengelig for sal / IFRS                       </v>
          </cell>
        </row>
        <row r="527">
          <cell r="Q527" t="str">
            <v>E2230083</v>
          </cell>
          <cell r="R527" t="str">
            <v xml:space="preserve">Tilgjengelig for sal /Endring i regn.prinsipp     </v>
          </cell>
          <cell r="S527" t="str">
            <v xml:space="preserve">Tilgjengelig for sal /  Change acc. principl      </v>
          </cell>
        </row>
        <row r="528">
          <cell r="Q528" t="str">
            <v>E2230085</v>
          </cell>
          <cell r="R528" t="str">
            <v xml:space="preserve">Tilgjengelig for sal / Periodens resultat         </v>
          </cell>
          <cell r="S528" t="str">
            <v xml:space="preserve">Tilgjengelig for sal / Net profit                 </v>
          </cell>
        </row>
        <row r="529">
          <cell r="Q529" t="str">
            <v>E2230090</v>
          </cell>
          <cell r="R529" t="str">
            <v xml:space="preserve">Tilgjengelig for sal / Omregningsdifferanse       </v>
          </cell>
          <cell r="S529" t="str">
            <v xml:space="preserve">Tilgjengelig for sal / Conversion diff            </v>
          </cell>
        </row>
        <row r="530">
          <cell r="Q530" t="str">
            <v>E2230100</v>
          </cell>
          <cell r="R530" t="str">
            <v xml:space="preserve">Tilgjengelig for sal / UB eks. omr.diff           </v>
          </cell>
          <cell r="S530" t="str">
            <v xml:space="preserve">Tilgjengelig for sal / CB ex. conv. diff          </v>
          </cell>
        </row>
        <row r="531">
          <cell r="Q531" t="str">
            <v>E2230EBA</v>
          </cell>
          <cell r="R531" t="str">
            <v xml:space="preserve">Tilgjengelig for sal / Utgående Balanse           </v>
          </cell>
          <cell r="S531" t="str">
            <v xml:space="preserve">Tilgjengelig for sal / Closing Balance            </v>
          </cell>
        </row>
        <row r="532">
          <cell r="Q532" t="str">
            <v>E2230EBC</v>
          </cell>
          <cell r="R532" t="str">
            <v xml:space="preserve">Tilgjengelig for sal / UB Omr. diff               </v>
          </cell>
          <cell r="S532" t="str">
            <v xml:space="preserve">Tilgjengelig for sal / CB Conv. Diff              </v>
          </cell>
        </row>
        <row r="533">
          <cell r="Q533" t="str">
            <v>E2230OBB</v>
          </cell>
          <cell r="R533" t="str">
            <v xml:space="preserve">Tilgjengelig for sal / OBB                        </v>
          </cell>
          <cell r="S533" t="str">
            <v xml:space="preserve">Tilgjengelig for sal / OBB                        </v>
          </cell>
        </row>
        <row r="534">
          <cell r="Q534" t="str">
            <v>E2230OBC</v>
          </cell>
          <cell r="R534" t="str">
            <v xml:space="preserve">Tilgjengelig for sal / IB Omr. diff               </v>
          </cell>
          <cell r="S534" t="str">
            <v xml:space="preserve">Tilgjengelig for sal / OB Conv. Diff              </v>
          </cell>
        </row>
        <row r="535">
          <cell r="Q535" t="str">
            <v>E2240</v>
          </cell>
          <cell r="R535" t="str">
            <v xml:space="preserve">Sum majoritetens andel av EK                      </v>
          </cell>
          <cell r="S535" t="str">
            <v xml:space="preserve">Sum majoritetens andel av EK                      </v>
          </cell>
        </row>
        <row r="536">
          <cell r="Q536" t="str">
            <v>E2240015</v>
          </cell>
          <cell r="R536" t="str">
            <v xml:space="preserve">Sum majoritetens and / Ny EK (til ASA)            </v>
          </cell>
          <cell r="S536" t="str">
            <v xml:space="preserve">Sum majoritetens and / New Equity (to ASA)        </v>
          </cell>
        </row>
        <row r="537">
          <cell r="Q537" t="str">
            <v>E2240020</v>
          </cell>
          <cell r="R537" t="str">
            <v xml:space="preserve">Sum majoritetens and / NY EK (Andre)              </v>
          </cell>
          <cell r="S537" t="str">
            <v xml:space="preserve">Sum majoritetens and / New Equity (Other)         </v>
          </cell>
        </row>
        <row r="538">
          <cell r="Q538" t="str">
            <v>E2240030</v>
          </cell>
          <cell r="R538" t="str">
            <v>Sum majoritetens and / Salg av egne aksjer (Ansk.)</v>
          </cell>
          <cell r="S538" t="str">
            <v xml:space="preserve">Sum majoritetens and / Sale own shares (Purchase) </v>
          </cell>
        </row>
        <row r="539">
          <cell r="Q539" t="str">
            <v>E2240031</v>
          </cell>
          <cell r="R539" t="str">
            <v xml:space="preserve">Sum majoritetens and / Kjøp av egen aksjer        </v>
          </cell>
          <cell r="S539" t="str">
            <v xml:space="preserve">Sum majoritetens and / Purchase own shares        </v>
          </cell>
        </row>
        <row r="540">
          <cell r="Q540" t="str">
            <v>E2240032</v>
          </cell>
          <cell r="R540" t="str">
            <v xml:space="preserve">Sum majoritetens and / Gev/tap egne aksjer        </v>
          </cell>
          <cell r="S540" t="str">
            <v xml:space="preserve">Sum majoritetens and / P/L own shares             </v>
          </cell>
        </row>
        <row r="541">
          <cell r="Q541" t="str">
            <v>E2240033</v>
          </cell>
          <cell r="R541" t="str">
            <v xml:space="preserve">Sum majoritetens and / Aksjebasert vederlag       </v>
          </cell>
          <cell r="S541" t="str">
            <v xml:space="preserve">Sum majoritetens and / Aksjebasert vederlag       </v>
          </cell>
        </row>
        <row r="542">
          <cell r="Q542" t="str">
            <v>E2240035</v>
          </cell>
          <cell r="R542" t="str">
            <v xml:space="preserve">Sum majoritetens and / Tilgang datterselsk.       </v>
          </cell>
          <cell r="S542" t="str">
            <v xml:space="preserve">Sum majoritetens and / Acquired subsidiaries      </v>
          </cell>
        </row>
        <row r="543">
          <cell r="Q543" t="str">
            <v>E2240040</v>
          </cell>
          <cell r="R543" t="str">
            <v xml:space="preserve">Sum majoritetens and / Avgang datterselsk.        </v>
          </cell>
          <cell r="S543" t="str">
            <v xml:space="preserve">Sum majoritetens and / Sold subsidiaries          </v>
          </cell>
        </row>
        <row r="544">
          <cell r="Q544" t="str">
            <v>E2240060</v>
          </cell>
          <cell r="R544" t="str">
            <v>Sum majoritetens and / Overføringer mellom EK- lin</v>
          </cell>
          <cell r="S544" t="str">
            <v xml:space="preserve">Sum majoritetens and / Transfer between EQ- items </v>
          </cell>
        </row>
        <row r="545">
          <cell r="Q545" t="str">
            <v>E2240068</v>
          </cell>
          <cell r="R545" t="str">
            <v xml:space="preserve">Sum majoritetens and / Utbytte (fra ASA)          </v>
          </cell>
          <cell r="S545" t="str">
            <v xml:space="preserve">Sum majoritetens and / Dividend (by ASA)          </v>
          </cell>
        </row>
        <row r="546">
          <cell r="Q546" t="str">
            <v>E2240070</v>
          </cell>
          <cell r="R546" t="str">
            <v xml:space="preserve">Sum majoritetens and / Utbytte (fra andre)        </v>
          </cell>
          <cell r="S546" t="str">
            <v xml:space="preserve">Sum majoritetens and / Dividend (from other)      </v>
          </cell>
        </row>
        <row r="547">
          <cell r="Q547" t="str">
            <v>E2240073</v>
          </cell>
          <cell r="R547" t="str">
            <v xml:space="preserve">Sum majoritetens and / Konsernbidrag              </v>
          </cell>
          <cell r="S547" t="str">
            <v xml:space="preserve">Sum majoritetens and / Group Contribution         </v>
          </cell>
        </row>
        <row r="548">
          <cell r="Q548" t="str">
            <v>E2240074</v>
          </cell>
          <cell r="R548" t="str">
            <v xml:space="preserve">Sum majoritetens and / Res.element mot EK         </v>
          </cell>
          <cell r="S548" t="str">
            <v xml:space="preserve">Sum majoritetens and / PL items against EK        </v>
          </cell>
        </row>
        <row r="549">
          <cell r="Q549" t="str">
            <v>E2240076</v>
          </cell>
          <cell r="R549" t="str">
            <v xml:space="preserve">Sum majoritetens and / Sikringsbokføring -g       </v>
          </cell>
          <cell r="S549" t="str">
            <v xml:space="preserve">Sum majoritetens and / Sikringsbokføring -g       </v>
          </cell>
        </row>
        <row r="550">
          <cell r="Q550" t="str">
            <v>E2240077</v>
          </cell>
          <cell r="R550" t="str">
            <v xml:space="preserve">Sum majoritetens and / Sikringsbokføring -g       </v>
          </cell>
          <cell r="S550" t="str">
            <v xml:space="preserve">Sum majoritetens and / Sikringsbokføring -g       </v>
          </cell>
        </row>
        <row r="551">
          <cell r="Q551" t="str">
            <v>E2240078</v>
          </cell>
          <cell r="R551" t="str">
            <v xml:space="preserve">Sum majoritetens and / Tilgj. for salg            </v>
          </cell>
          <cell r="S551" t="str">
            <v xml:space="preserve">Sum majoritetens and / Available for sale         </v>
          </cell>
        </row>
        <row r="552">
          <cell r="Q552" t="str">
            <v>E2240079</v>
          </cell>
          <cell r="R552" t="str">
            <v xml:space="preserve">Sum majoritetens and / Tilgjengelig for sal       </v>
          </cell>
          <cell r="S552" t="str">
            <v xml:space="preserve">Sum majoritetens and / Tilgjengelig for sal       </v>
          </cell>
        </row>
        <row r="553">
          <cell r="Q553" t="str">
            <v>E2240080</v>
          </cell>
          <cell r="R553" t="str">
            <v xml:space="preserve">Sum majoritetens and / Annet                      </v>
          </cell>
          <cell r="S553" t="str">
            <v xml:space="preserve">Sum majoritetens and / Other                      </v>
          </cell>
        </row>
        <row r="554">
          <cell r="Q554" t="str">
            <v>E2240082</v>
          </cell>
          <cell r="R554" t="str">
            <v xml:space="preserve">Sum majoritetens and / IFRS                       </v>
          </cell>
          <cell r="S554" t="str">
            <v xml:space="preserve">Sum majoritetens and / IFRS                       </v>
          </cell>
        </row>
        <row r="555">
          <cell r="Q555" t="str">
            <v>E2240083</v>
          </cell>
          <cell r="R555" t="str">
            <v xml:space="preserve">Sum majoritetens and /Endring regn.prinsipp       </v>
          </cell>
          <cell r="S555" t="str">
            <v xml:space="preserve">Sum majoritetens and /Change acc. principl        </v>
          </cell>
        </row>
        <row r="556">
          <cell r="Q556" t="str">
            <v>E2240085</v>
          </cell>
          <cell r="R556" t="str">
            <v xml:space="preserve">Sum majoritetens and / Periodens resultat         </v>
          </cell>
          <cell r="S556" t="str">
            <v xml:space="preserve">Sum majoritetens and / Net profit                 </v>
          </cell>
        </row>
        <row r="557">
          <cell r="Q557" t="str">
            <v>E2240090</v>
          </cell>
          <cell r="R557" t="str">
            <v xml:space="preserve">Sum majoritetens and / Omregningsdifferanse       </v>
          </cell>
          <cell r="S557" t="str">
            <v xml:space="preserve">Sum majoritetens and / Conversion Difference      </v>
          </cell>
        </row>
        <row r="558">
          <cell r="Q558" t="str">
            <v>E2240100</v>
          </cell>
          <cell r="R558" t="str">
            <v xml:space="preserve">Sum majoritetens and / UB eks. omr.diff           </v>
          </cell>
          <cell r="S558" t="str">
            <v xml:space="preserve">Sum majoritetens and / CB ex. conv. diff          </v>
          </cell>
        </row>
        <row r="559">
          <cell r="Q559" t="str">
            <v>E2240EBA</v>
          </cell>
          <cell r="R559" t="str">
            <v xml:space="preserve">Sum majoritetens and / Utgående Balanse           </v>
          </cell>
          <cell r="S559" t="str">
            <v xml:space="preserve">Sum majoritetens and / Closing Balance            </v>
          </cell>
        </row>
        <row r="560">
          <cell r="Q560" t="str">
            <v>E2240EBC</v>
          </cell>
          <cell r="R560" t="str">
            <v xml:space="preserve">Sum majoritetens and / UB Omr. diff               </v>
          </cell>
          <cell r="S560" t="str">
            <v xml:space="preserve">Sum majoritetens and / CB Conv. Diff              </v>
          </cell>
        </row>
        <row r="561">
          <cell r="Q561" t="str">
            <v>E2240OBB</v>
          </cell>
          <cell r="R561" t="str">
            <v xml:space="preserve">Sum majoritetens and / OBB                        </v>
          </cell>
          <cell r="S561" t="str">
            <v xml:space="preserve">Sum majoritetens and / OBB                        </v>
          </cell>
        </row>
        <row r="562">
          <cell r="Q562" t="str">
            <v>E2240OBC</v>
          </cell>
          <cell r="R562" t="str">
            <v xml:space="preserve">Sum majoritetens and / IB Omr. diff               </v>
          </cell>
          <cell r="S562" t="str">
            <v xml:space="preserve">Sum majoritetens and / OB Conv. Diff              </v>
          </cell>
        </row>
        <row r="563">
          <cell r="Q563" t="str">
            <v>E2250</v>
          </cell>
          <cell r="R563" t="str">
            <v xml:space="preserve">Sum opptjent egenkapital                          </v>
          </cell>
          <cell r="S563" t="str">
            <v xml:space="preserve">Total earned equity                               </v>
          </cell>
        </row>
        <row r="564">
          <cell r="Q564" t="str">
            <v>E2250015</v>
          </cell>
          <cell r="R564" t="str">
            <v xml:space="preserve">Sum opptj ek / Nyemisjon                          </v>
          </cell>
          <cell r="S564" t="str">
            <v xml:space="preserve">Tot earned eq / New capital                       </v>
          </cell>
        </row>
        <row r="565">
          <cell r="Q565" t="str">
            <v>E2250020</v>
          </cell>
          <cell r="R565" t="str">
            <v xml:space="preserve">Sum opptj ek / Fondsemisjon                       </v>
          </cell>
          <cell r="S565" t="str">
            <v xml:space="preserve">Tot earned eq / Stock Dividend                    </v>
          </cell>
        </row>
        <row r="566">
          <cell r="Q566" t="str">
            <v>E2250030</v>
          </cell>
          <cell r="R566" t="str">
            <v xml:space="preserve">Sum opptj ek / Nedskrivninger                     </v>
          </cell>
          <cell r="S566" t="str">
            <v xml:space="preserve">Tot earned eq / Revaluations                      </v>
          </cell>
        </row>
        <row r="567">
          <cell r="Q567" t="str">
            <v>E2250031</v>
          </cell>
          <cell r="R567" t="str">
            <v xml:space="preserve">Sum opptj ek / Kjøp av egne aksjer                </v>
          </cell>
          <cell r="S567" t="str">
            <v xml:space="preserve">Tot earned eq / Acq own shares                    </v>
          </cell>
        </row>
        <row r="568">
          <cell r="Q568" t="str">
            <v>E2250032</v>
          </cell>
          <cell r="R568" t="str">
            <v xml:space="preserve">Sum opptj ek / Gev/tap egne aksjer                </v>
          </cell>
          <cell r="S568" t="str">
            <v xml:space="preserve">Tot earned eq / P/L own shares                    </v>
          </cell>
        </row>
        <row r="569">
          <cell r="Q569" t="str">
            <v>E2250033</v>
          </cell>
          <cell r="R569" t="str">
            <v xml:space="preserve">Sum opptj ek / Aksjebasert vederlag               </v>
          </cell>
          <cell r="S569" t="str">
            <v xml:space="preserve">Tot earned eq / Compensation based o              </v>
          </cell>
        </row>
        <row r="570">
          <cell r="Q570" t="str">
            <v>E2250035</v>
          </cell>
          <cell r="R570" t="str">
            <v xml:space="preserve">Sum opptj ek / Kjøp                               </v>
          </cell>
          <cell r="S570" t="str">
            <v xml:space="preserve">Tot earned eq  / Acquired                         </v>
          </cell>
        </row>
        <row r="571">
          <cell r="Q571" t="str">
            <v>E2250040</v>
          </cell>
          <cell r="R571" t="str">
            <v xml:space="preserve">Sum opptj ek / Salg                               </v>
          </cell>
          <cell r="S571" t="str">
            <v xml:space="preserve">Tot earned eq / Sale                              </v>
          </cell>
        </row>
        <row r="572">
          <cell r="Q572" t="str">
            <v>E2250060</v>
          </cell>
          <cell r="R572" t="str">
            <v xml:space="preserve">Sum opptj ek / Overføringer                       </v>
          </cell>
          <cell r="S572" t="str">
            <v xml:space="preserve">Tot earned eq / Transfer                          </v>
          </cell>
        </row>
        <row r="573">
          <cell r="Q573" t="str">
            <v>E2250068</v>
          </cell>
          <cell r="R573" t="str">
            <v xml:space="preserve">Sum opptj ek / Utbytte (fra ASA)                  </v>
          </cell>
          <cell r="S573" t="str">
            <v xml:space="preserve">Tot earned eq / Dividend (by ASA)                 </v>
          </cell>
        </row>
        <row r="574">
          <cell r="Q574" t="str">
            <v>E2250070</v>
          </cell>
          <cell r="R574" t="str">
            <v xml:space="preserve">Sum opptj ek / Utbytte                            </v>
          </cell>
          <cell r="S574" t="str">
            <v xml:space="preserve">Tot earned eq / Dividend                          </v>
          </cell>
        </row>
        <row r="575">
          <cell r="Q575" t="str">
            <v>E2250073</v>
          </cell>
          <cell r="R575" t="str">
            <v xml:space="preserve">Sum opptj ek  / Konsernbidrag                     </v>
          </cell>
          <cell r="S575" t="str">
            <v xml:space="preserve">Tot earned eq / Group transfer                    </v>
          </cell>
        </row>
        <row r="576">
          <cell r="Q576" t="str">
            <v>E2250074</v>
          </cell>
          <cell r="R576" t="str">
            <v xml:space="preserve">Sum opptj ek  / Korreksjon skatt                  </v>
          </cell>
          <cell r="S576" t="str">
            <v xml:space="preserve">Tot earned eq / Correction tax                    </v>
          </cell>
        </row>
        <row r="577">
          <cell r="Q577" t="str">
            <v>E2250075</v>
          </cell>
          <cell r="R577" t="str">
            <v xml:space="preserve">Sum opptj ek / Aktieäg tillsk                     </v>
          </cell>
          <cell r="S577" t="str">
            <v xml:space="preserve">Tot earned eq / Shareh contr                      </v>
          </cell>
        </row>
        <row r="578">
          <cell r="Q578" t="str">
            <v>E2250076</v>
          </cell>
          <cell r="R578" t="str">
            <v xml:space="preserve">Sum opptj ek / Sikringsbokføring -g               </v>
          </cell>
          <cell r="S578" t="str">
            <v xml:space="preserve">Tot earned eq / Hedge Accounting                  </v>
          </cell>
        </row>
        <row r="579">
          <cell r="Q579" t="str">
            <v>E2250077</v>
          </cell>
          <cell r="R579" t="str">
            <v xml:space="preserve">Sum opptj ek / Sikringsbokføring -g               </v>
          </cell>
          <cell r="S579" t="str">
            <v xml:space="preserve">Tot earned eq / Hedge Accounting                  </v>
          </cell>
        </row>
        <row r="580">
          <cell r="Q580" t="str">
            <v>E2250078</v>
          </cell>
          <cell r="R580" t="str">
            <v xml:space="preserve">Sum opptj ek / Tilgj. for salg                    </v>
          </cell>
          <cell r="S580" t="str">
            <v xml:space="preserve">Tot earned eq / Available for sale                </v>
          </cell>
        </row>
        <row r="581">
          <cell r="Q581" t="str">
            <v>E2250079</v>
          </cell>
          <cell r="R581" t="str">
            <v xml:space="preserve">Sum opptj ek / Tilgjengelig for sal               </v>
          </cell>
          <cell r="S581" t="str">
            <v xml:space="preserve">Tot earned eq / Tilgjengelig for sal              </v>
          </cell>
        </row>
        <row r="582">
          <cell r="Q582" t="str">
            <v>E2250080</v>
          </cell>
          <cell r="R582" t="str">
            <v xml:space="preserve">Sum opptj ek / Annet                              </v>
          </cell>
          <cell r="S582" t="str">
            <v xml:space="preserve">Tot earned eq / Other                             </v>
          </cell>
        </row>
        <row r="583">
          <cell r="Q583" t="str">
            <v>E2250082</v>
          </cell>
          <cell r="R583" t="str">
            <v xml:space="preserve">Sum opptj ek / IFRS                               </v>
          </cell>
          <cell r="S583" t="str">
            <v xml:space="preserve">Tot earned eq / IFRS                              </v>
          </cell>
        </row>
        <row r="584">
          <cell r="Q584" t="str">
            <v>E2250083</v>
          </cell>
          <cell r="R584" t="str">
            <v xml:space="preserve">Sum opptj ek / Endring i regn.prins               </v>
          </cell>
          <cell r="S584" t="str">
            <v xml:space="preserve">Tot earned eq / Change acc. principl              </v>
          </cell>
        </row>
        <row r="585">
          <cell r="Q585" t="str">
            <v>E2250085</v>
          </cell>
          <cell r="R585" t="str">
            <v xml:space="preserve">Sum opptj ek / Periodens resultat                 </v>
          </cell>
          <cell r="S585" t="str">
            <v xml:space="preserve">Tot earned eq / Net profit                        </v>
          </cell>
        </row>
        <row r="586">
          <cell r="Q586" t="str">
            <v>E2250087</v>
          </cell>
          <cell r="R586" t="str">
            <v xml:space="preserve">Sum opptj ek / Periodens resultat - årsreg        </v>
          </cell>
          <cell r="S586" t="str">
            <v xml:space="preserve">Tot earned eq / Net profit - transfer             </v>
          </cell>
        </row>
        <row r="587">
          <cell r="Q587" t="str">
            <v>E2250090</v>
          </cell>
          <cell r="R587" t="str">
            <v xml:space="preserve">Sum opptj ek / Omregningsdifferanse               </v>
          </cell>
          <cell r="S587" t="str">
            <v xml:space="preserve">Tot earned eq / Conversion difference             </v>
          </cell>
        </row>
        <row r="588">
          <cell r="Q588" t="str">
            <v>E2250100</v>
          </cell>
          <cell r="R588" t="str">
            <v xml:space="preserve">Sum opptj ek / UB eks. omr.diff                   </v>
          </cell>
          <cell r="S588" t="str">
            <v xml:space="preserve">Tot earned eq / CB ex. conv. diff                 </v>
          </cell>
        </row>
        <row r="589">
          <cell r="Q589" t="str">
            <v>E2250EBA</v>
          </cell>
          <cell r="R589" t="str">
            <v xml:space="preserve">Sum opptj ek / Utgående Balanse                   </v>
          </cell>
          <cell r="S589" t="str">
            <v xml:space="preserve">Tot earned eq / Closing Balance                   </v>
          </cell>
        </row>
        <row r="590">
          <cell r="Q590" t="str">
            <v>E2250EBC</v>
          </cell>
          <cell r="R590" t="str">
            <v xml:space="preserve">Sum opptj ek / UB Omr. diff                       </v>
          </cell>
          <cell r="S590" t="str">
            <v xml:space="preserve">Tot earned eq / CB Conv. Diff                     </v>
          </cell>
        </row>
        <row r="591">
          <cell r="Q591" t="str">
            <v>E2250OBB</v>
          </cell>
          <cell r="R591" t="str">
            <v xml:space="preserve">Sum opptj ek / IB                                 </v>
          </cell>
          <cell r="S591" t="str">
            <v xml:space="preserve">Tot earned eq / OBB                               </v>
          </cell>
        </row>
        <row r="592">
          <cell r="Q592" t="str">
            <v>E2250OBC</v>
          </cell>
          <cell r="R592" t="str">
            <v xml:space="preserve">Sum opptj ek / IB Omr. diff                       </v>
          </cell>
          <cell r="S592" t="str">
            <v xml:space="preserve">Tot earned eq / OB Conv. Diff                     </v>
          </cell>
        </row>
        <row r="593">
          <cell r="Q593" t="str">
            <v>E2275</v>
          </cell>
          <cell r="R593" t="str">
            <v xml:space="preserve">Minoritetsinteresser                              </v>
          </cell>
          <cell r="S593" t="str">
            <v xml:space="preserve">Minority interests                                </v>
          </cell>
        </row>
        <row r="594">
          <cell r="Q594" t="str">
            <v>E2275015</v>
          </cell>
          <cell r="R594" t="str">
            <v xml:space="preserve">Min int / Ny EK (til Schibsted ASA)               </v>
          </cell>
          <cell r="S594" t="str">
            <v xml:space="preserve">Min int / New capital (to Schibsted ASA)          </v>
          </cell>
        </row>
        <row r="595">
          <cell r="Q595" t="str">
            <v>E2275020</v>
          </cell>
          <cell r="R595" t="str">
            <v xml:space="preserve">Min int / Ny EK (til andre)                       </v>
          </cell>
          <cell r="S595" t="str">
            <v xml:space="preserve">Min int / New Equityl (to others)                 </v>
          </cell>
        </row>
        <row r="596">
          <cell r="Q596" t="str">
            <v>E2275030</v>
          </cell>
          <cell r="R596" t="str">
            <v xml:space="preserve">Min int / Nedskrivninger                          </v>
          </cell>
          <cell r="S596" t="str">
            <v xml:space="preserve">Min int / Revaluations                            </v>
          </cell>
        </row>
        <row r="597">
          <cell r="Q597" t="str">
            <v>E2275031</v>
          </cell>
          <cell r="R597" t="str">
            <v xml:space="preserve">Min int / Kjøp av egne aksjer (Anskaffelseskost)  </v>
          </cell>
          <cell r="S597" t="str">
            <v xml:space="preserve">Min int / Acquisition own shares (Purchase cost)  </v>
          </cell>
        </row>
        <row r="598">
          <cell r="Q598" t="str">
            <v>E2275032</v>
          </cell>
          <cell r="R598" t="str">
            <v xml:space="preserve">Min int / Gev/tap egne aksjer                     </v>
          </cell>
          <cell r="S598" t="str">
            <v xml:space="preserve">Min int / P/L own shares                          </v>
          </cell>
        </row>
        <row r="599">
          <cell r="Q599" t="str">
            <v>E2275033</v>
          </cell>
          <cell r="R599" t="str">
            <v xml:space="preserve">Min int / Aksjebasert vederlag                    </v>
          </cell>
          <cell r="S599" t="str">
            <v xml:space="preserve">Min int / Aksjebasert vederlag                    </v>
          </cell>
        </row>
        <row r="600">
          <cell r="Q600" t="str">
            <v>E2275035</v>
          </cell>
          <cell r="R600" t="str">
            <v xml:space="preserve">Min int /Tilgang datterselskap                    </v>
          </cell>
          <cell r="S600" t="str">
            <v xml:space="preserve">Min int / Acquired subsidiaries                   </v>
          </cell>
        </row>
        <row r="601">
          <cell r="Q601" t="str">
            <v>E2275040</v>
          </cell>
          <cell r="R601" t="str">
            <v xml:space="preserve">Min int / Avgang datterselskap                    </v>
          </cell>
          <cell r="S601" t="str">
            <v xml:space="preserve">Min int / Sale subsidiaries                       </v>
          </cell>
        </row>
        <row r="602">
          <cell r="Q602" t="str">
            <v>E2275060</v>
          </cell>
          <cell r="R602" t="str">
            <v xml:space="preserve">Min int / Overføringer mellom EK- linjer          </v>
          </cell>
          <cell r="S602" t="str">
            <v xml:space="preserve">Min int / Transfer between EQ- items              </v>
          </cell>
        </row>
        <row r="603">
          <cell r="Q603" t="str">
            <v>E2275068</v>
          </cell>
          <cell r="R603" t="str">
            <v xml:space="preserve">Min int / Utbytte (fra ASA)                       </v>
          </cell>
          <cell r="S603" t="str">
            <v xml:space="preserve">Min int / Dividend (from ASA)                     </v>
          </cell>
        </row>
        <row r="604">
          <cell r="Q604" t="str">
            <v>E2275070</v>
          </cell>
          <cell r="R604" t="str">
            <v xml:space="preserve">Min int / Utbytte (fra andre)                     </v>
          </cell>
          <cell r="S604" t="str">
            <v xml:space="preserve">Min int / Dividend (from others)                  </v>
          </cell>
        </row>
        <row r="605">
          <cell r="Q605" t="str">
            <v>E2275073</v>
          </cell>
          <cell r="R605" t="str">
            <v xml:space="preserve">Min int / Konsernbidrag                           </v>
          </cell>
          <cell r="S605" t="str">
            <v xml:space="preserve">Min int / Group contribution                      </v>
          </cell>
        </row>
        <row r="606">
          <cell r="Q606" t="str">
            <v>E2275074</v>
          </cell>
          <cell r="R606" t="str">
            <v xml:space="preserve">Min int / Resultatelementer mot EK                </v>
          </cell>
          <cell r="S606" t="str">
            <v xml:space="preserve">Min int /  PL items against Equity                </v>
          </cell>
        </row>
        <row r="607">
          <cell r="Q607" t="str">
            <v>E2275075</v>
          </cell>
          <cell r="R607" t="str">
            <v xml:space="preserve">Min int / Aktieäg tillsk                          </v>
          </cell>
          <cell r="S607" t="str">
            <v xml:space="preserve">Min int / Shareh contr                            </v>
          </cell>
        </row>
        <row r="608">
          <cell r="Q608" t="str">
            <v>E2275076</v>
          </cell>
          <cell r="R608" t="str">
            <v xml:space="preserve">Min int / Sikringsbokføring -g                    </v>
          </cell>
          <cell r="S608" t="str">
            <v xml:space="preserve">Min int / Sikringsbokføring -g                    </v>
          </cell>
        </row>
        <row r="609">
          <cell r="Q609" t="str">
            <v>E2275077</v>
          </cell>
          <cell r="R609" t="str">
            <v xml:space="preserve">Min int / Sikringsbokføring -g                    </v>
          </cell>
          <cell r="S609" t="str">
            <v xml:space="preserve">Min int / Sikringsbokføring -g                    </v>
          </cell>
        </row>
        <row r="610">
          <cell r="Q610" t="str">
            <v>E2275078</v>
          </cell>
          <cell r="R610" t="str">
            <v xml:space="preserve">Min int / Tilgj. for salg                         </v>
          </cell>
          <cell r="S610" t="str">
            <v xml:space="preserve">Min int / Available for sale                      </v>
          </cell>
        </row>
        <row r="611">
          <cell r="Q611" t="str">
            <v>E2275079</v>
          </cell>
          <cell r="R611" t="str">
            <v xml:space="preserve">Min int / Tilgjengelig for sal                    </v>
          </cell>
          <cell r="S611" t="str">
            <v xml:space="preserve">Min int / Tilgjengelig for sal                    </v>
          </cell>
        </row>
        <row r="612">
          <cell r="Q612" t="str">
            <v>E2275080</v>
          </cell>
          <cell r="R612" t="str">
            <v xml:space="preserve">Min int / Annet                                   </v>
          </cell>
          <cell r="S612" t="str">
            <v xml:space="preserve">Min int / Other                                   </v>
          </cell>
        </row>
        <row r="613">
          <cell r="Q613" t="str">
            <v>E2275082</v>
          </cell>
          <cell r="R613" t="str">
            <v xml:space="preserve">Min int / IFRS                                    </v>
          </cell>
          <cell r="S613" t="str">
            <v xml:space="preserve">Min int / IFRS                                    </v>
          </cell>
        </row>
        <row r="614">
          <cell r="Q614" t="str">
            <v>E2275083</v>
          </cell>
          <cell r="R614" t="str">
            <v xml:space="preserve">Min int / Endring regn.prinsipp                   </v>
          </cell>
          <cell r="S614" t="str">
            <v xml:space="preserve">Min int /  Change acc. principl                   </v>
          </cell>
        </row>
        <row r="615">
          <cell r="Q615" t="str">
            <v>E2275085</v>
          </cell>
          <cell r="R615" t="str">
            <v xml:space="preserve">Min int / Periodens resultat                      </v>
          </cell>
          <cell r="S615" t="str">
            <v xml:space="preserve">Min int / Net profit                              </v>
          </cell>
        </row>
        <row r="616">
          <cell r="Q616" t="str">
            <v>E2275087</v>
          </cell>
          <cell r="R616" t="str">
            <v xml:space="preserve">Min int / Per res                                 </v>
          </cell>
          <cell r="S616" t="str">
            <v xml:space="preserve">Disp min int / Net profit                         </v>
          </cell>
        </row>
        <row r="617">
          <cell r="Q617" t="str">
            <v>E2275090</v>
          </cell>
          <cell r="R617" t="str">
            <v xml:space="preserve">Min int / Omregningsdifferanse                    </v>
          </cell>
          <cell r="S617" t="str">
            <v xml:space="preserve">Min int / Conversion diff                         </v>
          </cell>
        </row>
        <row r="618">
          <cell r="Q618" t="str">
            <v>E2275100</v>
          </cell>
          <cell r="R618" t="str">
            <v xml:space="preserve">Min int / UB eks. omr.diff                        </v>
          </cell>
          <cell r="S618" t="str">
            <v xml:space="preserve">Min int / CB ex. conv. diff                       </v>
          </cell>
        </row>
        <row r="619">
          <cell r="Q619" t="str">
            <v>E2275EBA</v>
          </cell>
          <cell r="R619" t="str">
            <v xml:space="preserve">Min int / Utgående Balanse                        </v>
          </cell>
          <cell r="S619" t="str">
            <v xml:space="preserve">Min int / Closing Balance                         </v>
          </cell>
        </row>
        <row r="620">
          <cell r="Q620" t="str">
            <v>E2275EBC</v>
          </cell>
          <cell r="R620" t="str">
            <v xml:space="preserve">Min int / UB Omr. diff                            </v>
          </cell>
          <cell r="S620" t="str">
            <v xml:space="preserve">Min int / CB Conv. Diff                           </v>
          </cell>
        </row>
        <row r="621">
          <cell r="Q621" t="str">
            <v>E2275OBB</v>
          </cell>
          <cell r="R621" t="str">
            <v xml:space="preserve">Min int / IB                                      </v>
          </cell>
          <cell r="S621" t="str">
            <v xml:space="preserve">Min int / OBB                                     </v>
          </cell>
        </row>
        <row r="622">
          <cell r="Q622" t="str">
            <v>E2275OBC</v>
          </cell>
          <cell r="R622" t="str">
            <v xml:space="preserve">Min int / IB Omr. diff                            </v>
          </cell>
          <cell r="S622" t="str">
            <v xml:space="preserve">Min int / OB Conv. Diff                           </v>
          </cell>
        </row>
        <row r="623">
          <cell r="Q623" t="str">
            <v>E2300</v>
          </cell>
          <cell r="R623" t="str">
            <v xml:space="preserve">Sum egenkapital                                   </v>
          </cell>
          <cell r="S623" t="str">
            <v xml:space="preserve">Total equity                                      </v>
          </cell>
        </row>
        <row r="624">
          <cell r="Q624" t="str">
            <v>E2300015</v>
          </cell>
          <cell r="R624" t="str">
            <v xml:space="preserve">Sum egenkapital / Ny EK (til Schibsted ASA)       </v>
          </cell>
          <cell r="S624" t="str">
            <v xml:space="preserve">Tot equity / New Equity (to Schibsted ASA)        </v>
          </cell>
        </row>
        <row r="625">
          <cell r="Q625" t="str">
            <v>E2300020</v>
          </cell>
          <cell r="R625" t="str">
            <v xml:space="preserve">Sum egenkapital / Ny EK (til andre)               </v>
          </cell>
          <cell r="S625" t="str">
            <v xml:space="preserve">Tot equity /New Equity (to others)                </v>
          </cell>
        </row>
        <row r="626">
          <cell r="Q626" t="str">
            <v>E2300030</v>
          </cell>
          <cell r="R626" t="str">
            <v xml:space="preserve">Sum egenkapital / Salg egne aksjer (Ansk.)        </v>
          </cell>
          <cell r="S626" t="str">
            <v xml:space="preserve">Tot equity / Sale own shares (Purchase cost)      </v>
          </cell>
        </row>
        <row r="627">
          <cell r="Q627" t="str">
            <v>E2300031</v>
          </cell>
          <cell r="R627" t="str">
            <v xml:space="preserve">Sum egenkapital / Kjøp av egne aksjer             </v>
          </cell>
          <cell r="S627" t="str">
            <v xml:space="preserve">Tot equity / Acquried own shares                  </v>
          </cell>
        </row>
        <row r="628">
          <cell r="Q628" t="str">
            <v>E2300032</v>
          </cell>
          <cell r="R628" t="str">
            <v xml:space="preserve">Sum EK / Gev/tap egne aksjer                      </v>
          </cell>
          <cell r="S628" t="str">
            <v xml:space="preserve">Tot equity / P/L own shares                       </v>
          </cell>
        </row>
        <row r="629">
          <cell r="Q629" t="str">
            <v>E2300033</v>
          </cell>
          <cell r="R629" t="str">
            <v xml:space="preserve">Sum EK / Aksjebasert vederlag                     </v>
          </cell>
          <cell r="S629" t="str">
            <v xml:space="preserve">Tot equity / Aksjebasert vederlag                 </v>
          </cell>
        </row>
        <row r="630">
          <cell r="Q630" t="str">
            <v>E2300035</v>
          </cell>
          <cell r="R630" t="str">
            <v xml:space="preserve">Sum egenkapital / Tilgang datterselskap           </v>
          </cell>
          <cell r="S630" t="str">
            <v xml:space="preserve">Total equity / Acquired subsidiaries              </v>
          </cell>
        </row>
        <row r="631">
          <cell r="Q631" t="str">
            <v>E2300040</v>
          </cell>
          <cell r="R631" t="str">
            <v xml:space="preserve">Sum egenkapital / Avgang datterselskap            </v>
          </cell>
          <cell r="S631" t="str">
            <v xml:space="preserve">Total equity / Sale subsidiaries                  </v>
          </cell>
        </row>
        <row r="632">
          <cell r="Q632" t="str">
            <v>E2300060</v>
          </cell>
          <cell r="R632" t="str">
            <v xml:space="preserve">Sum egenkapital / Overføringer mellom EK- linjer  </v>
          </cell>
          <cell r="S632" t="str">
            <v xml:space="preserve">Tot equity / Transfer between EQ- items           </v>
          </cell>
        </row>
        <row r="633">
          <cell r="Q633" t="str">
            <v>E2300068</v>
          </cell>
          <cell r="R633" t="str">
            <v xml:space="preserve">Sum EK / Utbytte (fra ASA)                        </v>
          </cell>
          <cell r="S633" t="str">
            <v xml:space="preserve">Tot equity / Dividend (from ASA)                  </v>
          </cell>
        </row>
        <row r="634">
          <cell r="Q634" t="str">
            <v>E2300070</v>
          </cell>
          <cell r="R634" t="str">
            <v xml:space="preserve">Sum egenkapital / Utbytte (fra andre)             </v>
          </cell>
          <cell r="S634" t="str">
            <v xml:space="preserve">Tot equity / Dividend (from others)               </v>
          </cell>
        </row>
        <row r="635">
          <cell r="Q635" t="str">
            <v>E2300073</v>
          </cell>
          <cell r="R635" t="str">
            <v xml:space="preserve">Sum egenkapital / Konsernbidrag                   </v>
          </cell>
          <cell r="S635" t="str">
            <v xml:space="preserve">Tot equity / Group contribution                   </v>
          </cell>
        </row>
        <row r="636">
          <cell r="Q636" t="str">
            <v>E2300074</v>
          </cell>
          <cell r="R636" t="str">
            <v xml:space="preserve">Sum egenkapital / Resultatelementer mot EK        </v>
          </cell>
          <cell r="S636" t="str">
            <v xml:space="preserve">Tot equity /  PL items against Equity             </v>
          </cell>
        </row>
        <row r="637">
          <cell r="Q637" t="str">
            <v>E2300075</v>
          </cell>
          <cell r="R637" t="str">
            <v xml:space="preserve">Sum egenkaptial / Aktieäg tillsk                  </v>
          </cell>
          <cell r="S637" t="str">
            <v xml:space="preserve">Tot equity / Shareh contr                         </v>
          </cell>
        </row>
        <row r="638">
          <cell r="Q638" t="str">
            <v>E2300076</v>
          </cell>
          <cell r="R638" t="str">
            <v xml:space="preserve">Sum EK / Sikringsbokføring -g                     </v>
          </cell>
          <cell r="S638" t="str">
            <v xml:space="preserve">Tot equity / Sikringsbokføring -g                 </v>
          </cell>
        </row>
        <row r="639">
          <cell r="Q639" t="str">
            <v>E2300077</v>
          </cell>
          <cell r="R639" t="str">
            <v xml:space="preserve">Sum EK / Sikringsbokføring -g                     </v>
          </cell>
          <cell r="S639" t="str">
            <v xml:space="preserve">Tot equity / Sikringsbokføring -g                 </v>
          </cell>
        </row>
        <row r="640">
          <cell r="Q640" t="str">
            <v>E2300078</v>
          </cell>
          <cell r="R640" t="str">
            <v xml:space="preserve">Sum EK / Tilgj. for salg                          </v>
          </cell>
          <cell r="S640" t="str">
            <v xml:space="preserve">Tot equity / Available for sale                   </v>
          </cell>
        </row>
        <row r="641">
          <cell r="Q641" t="str">
            <v>E2300079</v>
          </cell>
          <cell r="R641" t="str">
            <v xml:space="preserve">Sum EK / Tilgjengelig for sal                     </v>
          </cell>
          <cell r="S641" t="str">
            <v xml:space="preserve">Tot equity / Tilgjengelig for sal                 </v>
          </cell>
        </row>
        <row r="642">
          <cell r="Q642" t="str">
            <v>E2300080</v>
          </cell>
          <cell r="R642" t="str">
            <v xml:space="preserve">Sum egenkapital / Annet                           </v>
          </cell>
          <cell r="S642" t="str">
            <v xml:space="preserve">Tot equity / Other                                </v>
          </cell>
        </row>
        <row r="643">
          <cell r="Q643" t="str">
            <v>E2300082</v>
          </cell>
          <cell r="R643" t="str">
            <v xml:space="preserve">Sum EK / IFRS                                     </v>
          </cell>
          <cell r="S643" t="str">
            <v xml:space="preserve">Tot equity / IFRS                                 </v>
          </cell>
        </row>
        <row r="644">
          <cell r="Q644" t="str">
            <v>E2300083</v>
          </cell>
          <cell r="R644" t="str">
            <v xml:space="preserve">Sum EK / Endring regn.prinsipp                    </v>
          </cell>
          <cell r="S644" t="str">
            <v xml:space="preserve">Tot equity / Change acc. principl                 </v>
          </cell>
        </row>
        <row r="645">
          <cell r="Q645" t="str">
            <v>E2300085</v>
          </cell>
          <cell r="R645" t="str">
            <v xml:space="preserve">Sum egenkapital / Periodens resultat              </v>
          </cell>
          <cell r="S645" t="str">
            <v xml:space="preserve">Tot equity / Net profit                           </v>
          </cell>
        </row>
        <row r="646">
          <cell r="Q646" t="str">
            <v>E2300087</v>
          </cell>
          <cell r="R646" t="str">
            <v xml:space="preserve">Sum egenkapital / Periodens resultat              </v>
          </cell>
          <cell r="S646" t="str">
            <v xml:space="preserve">Tot equity / Net profit                           </v>
          </cell>
        </row>
        <row r="647">
          <cell r="Q647" t="str">
            <v>E2300090</v>
          </cell>
          <cell r="R647" t="str">
            <v xml:space="preserve">Sum egenkapital / Omregningsdifferanse            </v>
          </cell>
          <cell r="S647" t="str">
            <v xml:space="preserve">Tot equity / Conversion diff                      </v>
          </cell>
        </row>
        <row r="648">
          <cell r="Q648" t="str">
            <v>E2300100</v>
          </cell>
          <cell r="R648" t="str">
            <v xml:space="preserve">Sum EK / UB eks. omr.diff                         </v>
          </cell>
          <cell r="S648" t="str">
            <v xml:space="preserve">Tot equity / CB ex. conv. diff                    </v>
          </cell>
        </row>
        <row r="649">
          <cell r="Q649" t="str">
            <v>E2300EBA</v>
          </cell>
          <cell r="R649" t="str">
            <v xml:space="preserve">Sum EK / Utgående Balanse                         </v>
          </cell>
          <cell r="S649" t="str">
            <v xml:space="preserve">Tot equity / Closing Balance                      </v>
          </cell>
        </row>
        <row r="650">
          <cell r="Q650" t="str">
            <v>E2300EBC</v>
          </cell>
          <cell r="R650" t="str">
            <v xml:space="preserve">Sum EK / UB Omr. diff                             </v>
          </cell>
          <cell r="S650" t="str">
            <v xml:space="preserve">Tot equity / CB Conv. Diff                        </v>
          </cell>
        </row>
        <row r="651">
          <cell r="Q651" t="str">
            <v>E2300OBB</v>
          </cell>
          <cell r="R651" t="str">
            <v xml:space="preserve">Sum egenkapital / IB                              </v>
          </cell>
          <cell r="S651" t="str">
            <v xml:space="preserve">Tot equity / OBB                                  </v>
          </cell>
        </row>
        <row r="652">
          <cell r="Q652" t="str">
            <v>E2300OBC</v>
          </cell>
          <cell r="R652" t="str">
            <v xml:space="preserve">Sum EK / IB Omr. diff                             </v>
          </cell>
          <cell r="S652" t="str">
            <v xml:space="preserve">Tot equity / OB Conv. Diff                        </v>
          </cell>
        </row>
        <row r="653">
          <cell r="Q653" t="str">
            <v>F8200</v>
          </cell>
          <cell r="R653" t="str">
            <v xml:space="preserve">Sum Finansinntekter                               </v>
          </cell>
          <cell r="S653" t="str">
            <v xml:space="preserve">Total Financial Income                            </v>
          </cell>
        </row>
        <row r="654">
          <cell r="Q654" t="str">
            <v>F8201</v>
          </cell>
          <cell r="R654" t="str">
            <v xml:space="preserve">Valutagevinst (agio)                              </v>
          </cell>
          <cell r="S654" t="str">
            <v xml:space="preserve">Gain on exchange (AGIO)                           </v>
          </cell>
        </row>
        <row r="655">
          <cell r="Q655" t="str">
            <v>F8202</v>
          </cell>
          <cell r="R655" t="str">
            <v xml:space="preserve">Gevinst ved salg av aksjer                        </v>
          </cell>
          <cell r="S655" t="str">
            <v xml:space="preserve">Gain on sale of shares                            </v>
          </cell>
        </row>
        <row r="656">
          <cell r="Q656" t="str">
            <v>F8203</v>
          </cell>
          <cell r="R656" t="str">
            <v xml:space="preserve">Grunnfondsbevis                                   </v>
          </cell>
          <cell r="S656" t="str">
            <v xml:space="preserve">Primary capital certificate                       </v>
          </cell>
        </row>
        <row r="657">
          <cell r="Q657" t="str">
            <v>F8204</v>
          </cell>
          <cell r="R657" t="str">
            <v xml:space="preserve">Andre finansinntekter                             </v>
          </cell>
          <cell r="S657" t="str">
            <v xml:space="preserve">Other Financial Income                            </v>
          </cell>
        </row>
        <row r="658">
          <cell r="Q658" t="str">
            <v>F8205</v>
          </cell>
          <cell r="R658" t="str">
            <v xml:space="preserve">Mottatt utbytte fra konsernselskap                </v>
          </cell>
          <cell r="S658" t="str">
            <v xml:space="preserve">Dividend received from group companies            </v>
          </cell>
        </row>
        <row r="659">
          <cell r="Q659" t="str">
            <v>F8206</v>
          </cell>
          <cell r="R659" t="str">
            <v xml:space="preserve">Mottatt utbytte fra andre selskap                 </v>
          </cell>
          <cell r="S659" t="str">
            <v xml:space="preserve">Dividend received from other companies            </v>
          </cell>
        </row>
        <row r="660">
          <cell r="Q660" t="str">
            <v>F8207</v>
          </cell>
          <cell r="R660" t="str">
            <v xml:space="preserve">Konsernbidrag                                     </v>
          </cell>
          <cell r="S660" t="str">
            <v xml:space="preserve">Group contribution                                </v>
          </cell>
        </row>
        <row r="661">
          <cell r="Q661" t="str">
            <v>F8400</v>
          </cell>
          <cell r="R661" t="str">
            <v xml:space="preserve">Sum Finanskostnader                               </v>
          </cell>
          <cell r="S661" t="str">
            <v xml:space="preserve">Total Financial Expense                           </v>
          </cell>
        </row>
        <row r="662">
          <cell r="Q662" t="str">
            <v>F8401</v>
          </cell>
          <cell r="R662" t="str">
            <v xml:space="preserve">Valutatap (disagio)                               </v>
          </cell>
          <cell r="S662" t="str">
            <v xml:space="preserve">Loss on exchange (DISAGIO)                        </v>
          </cell>
        </row>
        <row r="663">
          <cell r="Q663" t="str">
            <v>F8402</v>
          </cell>
          <cell r="R663" t="str">
            <v xml:space="preserve">Tap ved salg av aksjer                            </v>
          </cell>
          <cell r="S663" t="str">
            <v xml:space="preserve">Loss on sale of shares                            </v>
          </cell>
        </row>
        <row r="664">
          <cell r="Q664" t="str">
            <v>F8403</v>
          </cell>
          <cell r="R664" t="str">
            <v xml:space="preserve">Nedskrivninger                                    </v>
          </cell>
          <cell r="S664" t="str">
            <v xml:space="preserve">Write downs                                       </v>
          </cell>
        </row>
        <row r="665">
          <cell r="Q665" t="str">
            <v>F8404</v>
          </cell>
          <cell r="R665" t="str">
            <v xml:space="preserve">Andre finanskostnader                             </v>
          </cell>
          <cell r="S665" t="str">
            <v xml:space="preserve">Other Financial Expenses                          </v>
          </cell>
        </row>
        <row r="666">
          <cell r="Q666" t="str">
            <v>INV1300</v>
          </cell>
          <cell r="R666" t="str">
            <v xml:space="preserve">Aksjer og andeler                                 </v>
          </cell>
          <cell r="S666" t="str">
            <v xml:space="preserve">Shares and interests                              </v>
          </cell>
        </row>
        <row r="667">
          <cell r="Q667" t="str">
            <v>INV1301</v>
          </cell>
          <cell r="R667" t="str">
            <v xml:space="preserve">Maskiner                                          </v>
          </cell>
          <cell r="S667" t="str">
            <v xml:space="preserve">Machinery                                         </v>
          </cell>
        </row>
        <row r="668">
          <cell r="Q668" t="str">
            <v>INV1302</v>
          </cell>
          <cell r="R668" t="str">
            <v xml:space="preserve">Transportmidler                                   </v>
          </cell>
          <cell r="S668" t="str">
            <v xml:space="preserve">Vehicles                                          </v>
          </cell>
        </row>
        <row r="669">
          <cell r="Q669" t="str">
            <v>INV1303</v>
          </cell>
          <cell r="R669" t="str">
            <v xml:space="preserve">Inventar                                          </v>
          </cell>
          <cell r="S669" t="str">
            <v xml:space="preserve">Furnitures                                        </v>
          </cell>
        </row>
        <row r="670">
          <cell r="Q670" t="str">
            <v>INV1304</v>
          </cell>
          <cell r="R670" t="str">
            <v xml:space="preserve">EDB                                               </v>
          </cell>
          <cell r="S670" t="str">
            <v xml:space="preserve">EDP                                               </v>
          </cell>
        </row>
        <row r="671">
          <cell r="Q671" t="str">
            <v>INV1305</v>
          </cell>
          <cell r="R671" t="str">
            <v xml:space="preserve">Immaterielle eiendeler                            </v>
          </cell>
          <cell r="S671" t="str">
            <v xml:space="preserve">Intangible assets                                 </v>
          </cell>
        </row>
        <row r="672">
          <cell r="Q672" t="str">
            <v>INV1306</v>
          </cell>
          <cell r="R672" t="str">
            <v xml:space="preserve">Tomt                                              </v>
          </cell>
          <cell r="S672" t="str">
            <v xml:space="preserve">Land                                              </v>
          </cell>
        </row>
        <row r="673">
          <cell r="Q673" t="str">
            <v>INV1307</v>
          </cell>
          <cell r="R673" t="str">
            <v xml:space="preserve">Produksjonsbygninger                              </v>
          </cell>
          <cell r="S673" t="str">
            <v xml:space="preserve">Production facilities                             </v>
          </cell>
        </row>
        <row r="674">
          <cell r="Q674" t="str">
            <v>INV1308</v>
          </cell>
          <cell r="R674" t="str">
            <v xml:space="preserve">Forretningsbygg                                   </v>
          </cell>
          <cell r="S674" t="str">
            <v xml:space="preserve">Commercial buildings                              </v>
          </cell>
        </row>
        <row r="675">
          <cell r="Q675" t="str">
            <v>INV1309</v>
          </cell>
          <cell r="R675" t="str">
            <v xml:space="preserve">Anlegg under utførelse                            </v>
          </cell>
          <cell r="S675" t="str">
            <v xml:space="preserve">Construction in progress                          </v>
          </cell>
        </row>
        <row r="676">
          <cell r="Q676" t="str">
            <v>INV1399</v>
          </cell>
          <cell r="R676" t="str">
            <v xml:space="preserve">Sum investeringer                                 </v>
          </cell>
          <cell r="S676" t="str">
            <v xml:space="preserve">Total investments                                 </v>
          </cell>
        </row>
        <row r="677">
          <cell r="Q677" t="str">
            <v>K1600</v>
          </cell>
          <cell r="R677" t="str">
            <v xml:space="preserve">Kundefordringer                                   </v>
          </cell>
          <cell r="S677" t="str">
            <v xml:space="preserve">Accounts receivables                              </v>
          </cell>
        </row>
        <row r="678">
          <cell r="Q678" t="str">
            <v>K1601</v>
          </cell>
          <cell r="R678" t="str">
            <v xml:space="preserve">Kundefordringer (brutto)                          </v>
          </cell>
          <cell r="S678" t="str">
            <v xml:space="preserve">Accounts receivables (nominal amount)             </v>
          </cell>
        </row>
        <row r="679">
          <cell r="Q679" t="str">
            <v>K1602</v>
          </cell>
          <cell r="R679" t="str">
            <v xml:space="preserve">Avsetning for tap                                 </v>
          </cell>
          <cell r="S679" t="str">
            <v xml:space="preserve">Impairment loss                                   </v>
          </cell>
        </row>
        <row r="680">
          <cell r="Q680" t="str">
            <v>K1603</v>
          </cell>
          <cell r="R680" t="str">
            <v xml:space="preserve">Ikke forfalte kundefordringer                     </v>
          </cell>
          <cell r="S680" t="str">
            <v xml:space="preserve">Accounts receivables, Not due                     </v>
          </cell>
        </row>
        <row r="681">
          <cell r="Q681" t="str">
            <v>K1604</v>
          </cell>
          <cell r="R681" t="str">
            <v xml:space="preserve">Forfalt 0-90 dager                                </v>
          </cell>
          <cell r="S681" t="str">
            <v xml:space="preserve">Past due 0-90 days                                </v>
          </cell>
        </row>
        <row r="682">
          <cell r="Q682" t="str">
            <v>K1605</v>
          </cell>
          <cell r="R682" t="str">
            <v xml:space="preserve">Forfalt med over 90 dager                         </v>
          </cell>
          <cell r="S682" t="str">
            <v xml:space="preserve">Past due more than 90 days                        </v>
          </cell>
        </row>
        <row r="683">
          <cell r="Q683" t="str">
            <v>K1606</v>
          </cell>
          <cell r="R683" t="str">
            <v xml:space="preserve">Kundefordringer brutto (=1600)                   </v>
          </cell>
          <cell r="S683" t="str">
            <v xml:space="preserve">Accounts receivables nominal ammount (=1600)     </v>
          </cell>
        </row>
        <row r="684">
          <cell r="Q684" t="str">
            <v>K1607</v>
          </cell>
          <cell r="R684" t="str">
            <v xml:space="preserve">Tapsavsetning - ikke forfalt                      </v>
          </cell>
          <cell r="S684" t="str">
            <v xml:space="preserve">Impaired rec. - Not due                           </v>
          </cell>
        </row>
        <row r="685">
          <cell r="Q685" t="str">
            <v>K1608</v>
          </cell>
          <cell r="R685" t="str">
            <v xml:space="preserve">Tapsavsetning - forfalt 0-90 dager                </v>
          </cell>
          <cell r="S685" t="str">
            <v xml:space="preserve">Impaired rec. - Past due 0-90 days                </v>
          </cell>
        </row>
        <row r="686">
          <cell r="Q686" t="str">
            <v>K1609</v>
          </cell>
          <cell r="R686" t="str">
            <v xml:space="preserve">Tapsavsetning - forfalt med over 90 dager         </v>
          </cell>
          <cell r="S686" t="str">
            <v xml:space="preserve">Impaired rec. - Past due more than 90 days        </v>
          </cell>
        </row>
        <row r="687">
          <cell r="Q687" t="str">
            <v>K1610</v>
          </cell>
          <cell r="R687" t="str">
            <v xml:space="preserve">Tapsavsatte kundefordringer                       </v>
          </cell>
          <cell r="S687" t="str">
            <v xml:space="preserve">Impaired accounts receivables                     </v>
          </cell>
        </row>
        <row r="688">
          <cell r="Q688" t="str">
            <v>K1611</v>
          </cell>
          <cell r="R688" t="str">
            <v xml:space="preserve">Avsetning - ikke forfalt                          </v>
          </cell>
          <cell r="S688" t="str">
            <v xml:space="preserve">Provision rec. - Not due                          </v>
          </cell>
        </row>
        <row r="689">
          <cell r="Q689" t="str">
            <v>K1612</v>
          </cell>
          <cell r="R689" t="str">
            <v xml:space="preserve">Avsetning - forfalt 0-90 dager                    </v>
          </cell>
          <cell r="S689" t="str">
            <v xml:space="preserve">Provision rec. - Past due 0-90 days               </v>
          </cell>
        </row>
        <row r="690">
          <cell r="Q690" t="str">
            <v>K1613</v>
          </cell>
          <cell r="R690" t="str">
            <v xml:space="preserve">Avsetning - forfalt med over 90 dager             </v>
          </cell>
          <cell r="S690" t="str">
            <v xml:space="preserve">Provision rec. - Past due more than 90 days       </v>
          </cell>
        </row>
        <row r="691">
          <cell r="Q691" t="str">
            <v>K1614</v>
          </cell>
          <cell r="R691" t="str">
            <v xml:space="preserve">Tapsavsatte kundefordringer (=1601)              </v>
          </cell>
          <cell r="S691" t="str">
            <v xml:space="preserve">Impaired accounts receivables (=1601)            </v>
          </cell>
        </row>
        <row r="692">
          <cell r="Q692" t="str">
            <v>K1615</v>
          </cell>
          <cell r="R692" t="str">
            <v xml:space="preserve">Gjennvunnet - ikke forfalt                        </v>
          </cell>
          <cell r="S692" t="str">
            <v xml:space="preserve">Recovered rec. - Not due                          </v>
          </cell>
        </row>
        <row r="693">
          <cell r="Q693" t="str">
            <v>K1616</v>
          </cell>
          <cell r="R693" t="str">
            <v xml:space="preserve">Gjennvunnet - forfalt 0-90 dager                  </v>
          </cell>
          <cell r="S693" t="str">
            <v xml:space="preserve">Recovered rec. - Past due 0-90 days               </v>
          </cell>
        </row>
        <row r="694">
          <cell r="Q694" t="str">
            <v>K1617</v>
          </cell>
          <cell r="R694" t="str">
            <v xml:space="preserve">Gjennvunnet - forfalt med over 90 dager           </v>
          </cell>
          <cell r="S694" t="str">
            <v xml:space="preserve">Recovered rec. - Past due more than 90 days       </v>
          </cell>
        </row>
        <row r="695">
          <cell r="Q695" t="str">
            <v>K1618</v>
          </cell>
          <cell r="R695" t="str">
            <v xml:space="preserve">Tapsavsatte kundefordringer                       </v>
          </cell>
          <cell r="S695" t="str">
            <v xml:space="preserve">Impaired accounts receivables                     </v>
          </cell>
        </row>
        <row r="696">
          <cell r="Q696" t="str">
            <v>K1619</v>
          </cell>
          <cell r="R696" t="str">
            <v xml:space="preserve">Kundefordringer i lokal valuta                    </v>
          </cell>
          <cell r="S696" t="str">
            <v xml:space="preserve">Accounts rec, local currency                      </v>
          </cell>
        </row>
        <row r="697">
          <cell r="Q697" t="str">
            <v>K1620</v>
          </cell>
          <cell r="R697" t="str">
            <v xml:space="preserve">Kundefordringer i fremmed valuta                  </v>
          </cell>
          <cell r="S697" t="str">
            <v xml:space="preserve">Accounts rec, foreign currency                    </v>
          </cell>
        </row>
        <row r="698">
          <cell r="Q698" t="str">
            <v>K1621</v>
          </cell>
          <cell r="R698" t="str">
            <v xml:space="preserve">Kundefordringer, brutto (=1600)                  </v>
          </cell>
          <cell r="S698" t="str">
            <v xml:space="preserve">Accounts rec, nominal ammount (=1600)            </v>
          </cell>
        </row>
        <row r="699">
          <cell r="Q699" t="str">
            <v>K1622</v>
          </cell>
          <cell r="R699" t="str">
            <v xml:space="preserve">Nye kunder (mindre enn 6 mnd)                     </v>
          </cell>
          <cell r="S699" t="str">
            <v xml:space="preserve">New customers (less than 6 months)                </v>
          </cell>
        </row>
        <row r="700">
          <cell r="Q700" t="str">
            <v>K1623</v>
          </cell>
          <cell r="R700" t="str">
            <v xml:space="preserve">Eksisterende kunder, uten brudd på kredittbet.    </v>
          </cell>
          <cell r="S700" t="str">
            <v xml:space="preserve">Existing customers without violation of terms     </v>
          </cell>
        </row>
        <row r="701">
          <cell r="Q701" t="str">
            <v>K1624</v>
          </cell>
          <cell r="R701" t="str">
            <v xml:space="preserve">Eksisterende kunder, med få brudd på kredittbet.  </v>
          </cell>
          <cell r="S701" t="str">
            <v xml:space="preserve">Existing customers with few violation of terms    </v>
          </cell>
        </row>
        <row r="702">
          <cell r="Q702" t="str">
            <v>K1625</v>
          </cell>
          <cell r="R702" t="str">
            <v xml:space="preserve">Kundefordringer, brutto (=1600)                  </v>
          </cell>
          <cell r="S702" t="str">
            <v xml:space="preserve">Accounts rec, nominal ammount (=1600)            </v>
          </cell>
        </row>
        <row r="703">
          <cell r="Q703" t="str">
            <v>K1630</v>
          </cell>
          <cell r="R703" t="str">
            <v xml:space="preserve">Andre kortsiktige fordringer                      </v>
          </cell>
          <cell r="S703" t="str">
            <v xml:space="preserve">Other receivables                                 </v>
          </cell>
        </row>
        <row r="704">
          <cell r="Q704" t="str">
            <v>K1631</v>
          </cell>
          <cell r="R704" t="str">
            <v xml:space="preserve">Periodiserte (forskuddsbetalte) kostnader         </v>
          </cell>
          <cell r="S704" t="str">
            <v xml:space="preserve">Prepayed expences                                 </v>
          </cell>
        </row>
        <row r="705">
          <cell r="Q705" t="str">
            <v>K1632</v>
          </cell>
          <cell r="R705" t="str">
            <v>Periodiserte (opptjent, ikke fakturerte) inntekter</v>
          </cell>
          <cell r="S705" t="str">
            <v xml:space="preserve">Accrued income                                    </v>
          </cell>
        </row>
        <row r="706">
          <cell r="Q706" t="str">
            <v>K1633</v>
          </cell>
          <cell r="R706" t="str">
            <v xml:space="preserve">Krav på tilbakebetaling av skatt                  </v>
          </cell>
          <cell r="S706" t="str">
            <v xml:space="preserve">Current tax receivable                            </v>
          </cell>
        </row>
        <row r="707">
          <cell r="Q707" t="str">
            <v>K1634</v>
          </cell>
          <cell r="R707" t="str">
            <v xml:space="preserve">Andre krav på offentlig myndighet                 </v>
          </cell>
          <cell r="S707" t="str">
            <v xml:space="preserve">Receivable from public authorities                </v>
          </cell>
        </row>
        <row r="708">
          <cell r="Q708" t="str">
            <v>K1635</v>
          </cell>
          <cell r="R708" t="str">
            <v xml:space="preserve">Virkelig verdi av finansielle derivater           </v>
          </cell>
          <cell r="S708" t="str">
            <v xml:space="preserve">Financial derivatives                             </v>
          </cell>
        </row>
        <row r="709">
          <cell r="Q709" t="str">
            <v>K1636</v>
          </cell>
          <cell r="R709" t="str">
            <v xml:space="preserve">Andre fordringer                                  </v>
          </cell>
          <cell r="S709" t="str">
            <v xml:space="preserve">Other receivables                                 </v>
          </cell>
        </row>
        <row r="710">
          <cell r="Q710" t="str">
            <v>K1640</v>
          </cell>
          <cell r="R710" t="str">
            <v xml:space="preserve">Avsetning for tap 01.01.                          </v>
          </cell>
          <cell r="S710" t="str">
            <v xml:space="preserve">Impairment loss 01.01                             </v>
          </cell>
        </row>
        <row r="711">
          <cell r="Q711" t="str">
            <v>K1641</v>
          </cell>
          <cell r="R711" t="str">
            <v xml:space="preserve">Avsetning for nedskrivning av fordringer          </v>
          </cell>
          <cell r="S711" t="str">
            <v xml:space="preserve">Provision for receivables impariment              </v>
          </cell>
        </row>
        <row r="712">
          <cell r="Q712" t="str">
            <v>K1642</v>
          </cell>
          <cell r="R712" t="str">
            <v xml:space="preserve">Fordringer som er avskrevne i løpet av året       </v>
          </cell>
          <cell r="S712" t="str">
            <v xml:space="preserve">Receivables written off during the year           </v>
          </cell>
        </row>
        <row r="713">
          <cell r="Q713" t="str">
            <v>K1643</v>
          </cell>
          <cell r="R713" t="str">
            <v xml:space="preserve">Reversering av ikke brukte avsetninger            </v>
          </cell>
          <cell r="S713" t="str">
            <v xml:space="preserve">Unused amounts revised                            </v>
          </cell>
        </row>
        <row r="714">
          <cell r="Q714" t="str">
            <v>K1644</v>
          </cell>
          <cell r="R714" t="str">
            <v xml:space="preserve">Annet (vennligst legg til kommentar)              </v>
          </cell>
          <cell r="S714" t="str">
            <v xml:space="preserve">Other (please add comment)                        </v>
          </cell>
        </row>
        <row r="715">
          <cell r="Q715" t="str">
            <v>K1645</v>
          </cell>
          <cell r="R715" t="str">
            <v xml:space="preserve">Avsetning for tap 31.12.                          </v>
          </cell>
          <cell r="S715" t="str">
            <v xml:space="preserve">Impairment loss 31.12.                            </v>
          </cell>
        </row>
        <row r="716">
          <cell r="Q716" t="str">
            <v>K1646</v>
          </cell>
          <cell r="R716" t="str">
            <v xml:space="preserve">Kommentarer for tapsavsatte kundefordringer       </v>
          </cell>
          <cell r="S716" t="str">
            <v xml:space="preserve">Comments on impaired trade receivables            </v>
          </cell>
        </row>
        <row r="717">
          <cell r="Q717" t="str">
            <v>K2650</v>
          </cell>
          <cell r="R717" t="str">
            <v xml:space="preserve">Annen kortsiktig gjeld                            </v>
          </cell>
          <cell r="S717" t="str">
            <v xml:space="preserve">Other current liabilities                         </v>
          </cell>
        </row>
        <row r="718">
          <cell r="Q718" t="str">
            <v>K2651</v>
          </cell>
          <cell r="R718" t="str">
            <v xml:space="preserve">Restruktureringskostnader                         </v>
          </cell>
          <cell r="S718" t="str">
            <v xml:space="preserve">Accrued restructing costs                         </v>
          </cell>
        </row>
        <row r="719">
          <cell r="Q719" t="str">
            <v>K2652</v>
          </cell>
          <cell r="R719" t="str">
            <v xml:space="preserve">Periodisert (påløpne) kostnader                   </v>
          </cell>
          <cell r="S719" t="str">
            <v xml:space="preserve">Other accrued expenses                            </v>
          </cell>
        </row>
        <row r="720">
          <cell r="Q720" t="str">
            <v>K2653</v>
          </cell>
          <cell r="R720" t="str">
            <v xml:space="preserve">Virkelig verdi av finansielle derivater           </v>
          </cell>
          <cell r="S720" t="str">
            <v xml:space="preserve">Financial derivatives                             </v>
          </cell>
        </row>
        <row r="721">
          <cell r="Q721" t="str">
            <v>K2654</v>
          </cell>
          <cell r="R721" t="str">
            <v xml:space="preserve">Annen kortsiktig gjeld                            </v>
          </cell>
          <cell r="S721" t="str">
            <v xml:space="preserve">Other liabilities                                 </v>
          </cell>
        </row>
        <row r="722">
          <cell r="Q722" t="str">
            <v>KF1600</v>
          </cell>
          <cell r="R722" t="str">
            <v xml:space="preserve">Kundefordringer                                   </v>
          </cell>
          <cell r="S722" t="str">
            <v xml:space="preserve">Accounts receivables                              </v>
          </cell>
        </row>
        <row r="723">
          <cell r="Q723" t="str">
            <v>KF1601</v>
          </cell>
          <cell r="R723" t="str">
            <v xml:space="preserve">Kundefordringer (brutto)                          </v>
          </cell>
          <cell r="S723" t="str">
            <v xml:space="preserve">Accounts receivables (nominal value)              </v>
          </cell>
        </row>
        <row r="724">
          <cell r="Q724" t="str">
            <v>KF1602</v>
          </cell>
          <cell r="R724" t="str">
            <v xml:space="preserve">Avsetning for tap                                 </v>
          </cell>
          <cell r="S724" t="str">
            <v xml:space="preserve">Impairment loss                                   </v>
          </cell>
        </row>
        <row r="725">
          <cell r="Q725" t="str">
            <v>KF1630</v>
          </cell>
          <cell r="R725" t="str">
            <v xml:space="preserve">Andre kortsiktige fordringer                      </v>
          </cell>
          <cell r="S725" t="str">
            <v xml:space="preserve">Other receivables                                 </v>
          </cell>
        </row>
        <row r="726">
          <cell r="Q726" t="str">
            <v>KF1631</v>
          </cell>
          <cell r="R726" t="str">
            <v xml:space="preserve">Periodiserte (forskuddsbetalte) kostnader         </v>
          </cell>
          <cell r="S726" t="str">
            <v xml:space="preserve">Prepayed expences                                 </v>
          </cell>
        </row>
        <row r="727">
          <cell r="Q727" t="str">
            <v>KF1632</v>
          </cell>
          <cell r="R727" t="str">
            <v>Periodiserte (opptjent, ikke fakturerte) inntekter</v>
          </cell>
          <cell r="S727" t="str">
            <v xml:space="preserve">Accrued income                                    </v>
          </cell>
        </row>
        <row r="728">
          <cell r="Q728" t="str">
            <v>KF1633</v>
          </cell>
          <cell r="R728" t="str">
            <v xml:space="preserve">Krav på tilbakebetaling av skatt                  </v>
          </cell>
          <cell r="S728" t="str">
            <v xml:space="preserve">Current tax receivable                            </v>
          </cell>
        </row>
        <row r="729">
          <cell r="Q729" t="str">
            <v>KF1634</v>
          </cell>
          <cell r="R729" t="str">
            <v xml:space="preserve">Andre krav på offentlig myndighet                 </v>
          </cell>
          <cell r="S729" t="str">
            <v xml:space="preserve">Receivable from public authorities                </v>
          </cell>
        </row>
        <row r="730">
          <cell r="Q730" t="str">
            <v>KF1635</v>
          </cell>
          <cell r="R730" t="str">
            <v xml:space="preserve">Virkelig verdi av finansielle derivater           </v>
          </cell>
          <cell r="S730" t="str">
            <v xml:space="preserve">Financial derivatives                             </v>
          </cell>
        </row>
        <row r="731">
          <cell r="Q731" t="str">
            <v>KF1636</v>
          </cell>
          <cell r="R731" t="str">
            <v xml:space="preserve">Andre fordringer                                  </v>
          </cell>
          <cell r="S731" t="str">
            <v xml:space="preserve">Other receivables                                 </v>
          </cell>
        </row>
        <row r="732">
          <cell r="Q732" t="str">
            <v>KF2650</v>
          </cell>
          <cell r="R732" t="str">
            <v xml:space="preserve">Annen kortsiktig gjeld                            </v>
          </cell>
          <cell r="S732" t="str">
            <v xml:space="preserve">Other current liabilities                         </v>
          </cell>
        </row>
        <row r="733">
          <cell r="Q733" t="str">
            <v>KF2651</v>
          </cell>
          <cell r="R733" t="str">
            <v xml:space="preserve">Restruktureringskostnader                         </v>
          </cell>
          <cell r="S733" t="str">
            <v xml:space="preserve">Accrued restructing costs                         </v>
          </cell>
        </row>
        <row r="734">
          <cell r="Q734" t="str">
            <v>KF2652</v>
          </cell>
          <cell r="R734" t="str">
            <v xml:space="preserve">Periodisert (påløpne) kostnader                   </v>
          </cell>
          <cell r="S734" t="str">
            <v xml:space="preserve">Other accrued expenses                            </v>
          </cell>
        </row>
        <row r="735">
          <cell r="Q735" t="str">
            <v>KF2653</v>
          </cell>
          <cell r="R735" t="str">
            <v xml:space="preserve">Virkelig verdi av finansielle derivater           </v>
          </cell>
          <cell r="S735" t="str">
            <v xml:space="preserve">Financial derivatives                             </v>
          </cell>
        </row>
        <row r="736">
          <cell r="Q736" t="str">
            <v>KF2654</v>
          </cell>
          <cell r="R736" t="str">
            <v xml:space="preserve">Annen kortsiktig gjeld                            </v>
          </cell>
          <cell r="S736" t="str">
            <v xml:space="preserve">Other liabilities                                 </v>
          </cell>
        </row>
        <row r="737">
          <cell r="Q737" t="str">
            <v>KS100</v>
          </cell>
          <cell r="R737" t="str">
            <v xml:space="preserve">Driftsresultat                                    </v>
          </cell>
          <cell r="S737" t="str">
            <v xml:space="preserve">Operating profit                                  </v>
          </cell>
        </row>
        <row r="738">
          <cell r="Q738" t="str">
            <v>KS110</v>
          </cell>
          <cell r="R738" t="str">
            <v xml:space="preserve">+ Av- og nedskrivninger                           </v>
          </cell>
          <cell r="S738" t="str">
            <v xml:space="preserve">+ Depreciations and write-downs                   </v>
          </cell>
        </row>
        <row r="739">
          <cell r="Q739" t="str">
            <v>KS120</v>
          </cell>
          <cell r="R739" t="str">
            <v xml:space="preserve">+ / - endring i varelager og korts. fordringer    </v>
          </cell>
          <cell r="S739" t="str">
            <v>+ / - changes in inventories and short-term receiv</v>
          </cell>
        </row>
        <row r="740">
          <cell r="Q740" t="str">
            <v>KS130</v>
          </cell>
          <cell r="R740" t="str">
            <v xml:space="preserve">+ / - endring i lev.gjeld o.a. ikke rnt.bærende g </v>
          </cell>
          <cell r="S740" t="str">
            <v>+ / - changes in acc. payables and other not inter</v>
          </cell>
        </row>
        <row r="741">
          <cell r="Q741" t="str">
            <v>KS140</v>
          </cell>
          <cell r="R741" t="str">
            <v xml:space="preserve">+ Mottatt utbytte fra tilknyttede selskap         </v>
          </cell>
          <cell r="S741" t="str">
            <v xml:space="preserve">+ Dividends received from associated companies    </v>
          </cell>
        </row>
        <row r="742">
          <cell r="Q742" t="str">
            <v>KS150</v>
          </cell>
          <cell r="R742" t="str">
            <v xml:space="preserve">- Investeringer i anleggsmidler og aksjer         </v>
          </cell>
          <cell r="S742" t="str">
            <v xml:space="preserve">- Investments in fixed assets and shares          </v>
          </cell>
        </row>
        <row r="743">
          <cell r="Q743" t="str">
            <v>KS155</v>
          </cell>
          <cell r="R743" t="str">
            <v xml:space="preserve">+ Salgssum anleggsmidler og aksjer                </v>
          </cell>
          <cell r="S743" t="str">
            <v xml:space="preserve">+ Sales of fixed assets and shares                </v>
          </cell>
        </row>
        <row r="744">
          <cell r="Q744" t="str">
            <v>KS160</v>
          </cell>
          <cell r="R744" t="str">
            <v xml:space="preserve">+ / - Tap/gevinst salg anleggsmidler og aksjer    </v>
          </cell>
          <cell r="S744" t="str">
            <v>+ / - Sales losses/ gains/ fixed assets and shares</v>
          </cell>
        </row>
        <row r="745">
          <cell r="Q745" t="str">
            <v>KS170</v>
          </cell>
          <cell r="R745" t="str">
            <v xml:space="preserve">+ / - Endring i andre finansielle anleggsmidler   </v>
          </cell>
          <cell r="S745" t="str">
            <v xml:space="preserve">+ / - Changes in other financial assets           </v>
          </cell>
        </row>
        <row r="746">
          <cell r="Q746" t="str">
            <v>KS180</v>
          </cell>
          <cell r="R746" t="str">
            <v xml:space="preserve">- Utbetaling som følge av restrukturering         </v>
          </cell>
          <cell r="S746" t="str">
            <v xml:space="preserve">- Payment due to restructuring                    </v>
          </cell>
        </row>
        <row r="747">
          <cell r="Q747" t="str">
            <v>KS900</v>
          </cell>
          <cell r="R747" t="str">
            <v xml:space="preserve">Likviditetsbidrag fra drift og investeringer      </v>
          </cell>
          <cell r="S747" t="str">
            <v>Cash-flow from operating activities and investment</v>
          </cell>
        </row>
        <row r="748">
          <cell r="Q748" t="str">
            <v>OE6120</v>
          </cell>
          <cell r="R748" t="str">
            <v xml:space="preserve">Sum andre drfitskostnader Felles funksjoner       </v>
          </cell>
          <cell r="S748" t="str">
            <v xml:space="preserve">Total other operating expenses Joint activities   </v>
          </cell>
        </row>
        <row r="749">
          <cell r="Q749" t="str">
            <v>OE6140</v>
          </cell>
          <cell r="R749" t="str">
            <v xml:space="preserve">Sum andre driftskostnader Avis                    </v>
          </cell>
          <cell r="S749" t="str">
            <v xml:space="preserve">Total other operating expenses Newspapers         </v>
          </cell>
        </row>
        <row r="750">
          <cell r="Q750" t="str">
            <v>OE6160</v>
          </cell>
          <cell r="R750" t="str">
            <v xml:space="preserve">Sum andre drfitskostnader TV/ Film                </v>
          </cell>
          <cell r="S750" t="str">
            <v xml:space="preserve">Total other operating expenses TV/ Film           </v>
          </cell>
        </row>
        <row r="751">
          <cell r="Q751" t="str">
            <v>OE6180</v>
          </cell>
          <cell r="R751" t="str">
            <v xml:space="preserve">Sum andre drfitskostnader Multimedia              </v>
          </cell>
          <cell r="S751" t="str">
            <v xml:space="preserve">Total other operating expenses Multimedia         </v>
          </cell>
        </row>
        <row r="752">
          <cell r="Q752" t="str">
            <v>OE6181</v>
          </cell>
          <cell r="R752" t="str">
            <v xml:space="preserve">Data- og lisenskostnader                          </v>
          </cell>
          <cell r="S752" t="str">
            <v xml:space="preserve">Computer and software licence costs               </v>
          </cell>
        </row>
        <row r="753">
          <cell r="Q753" t="str">
            <v>OE6182</v>
          </cell>
          <cell r="R753" t="str">
            <v xml:space="preserve">Honorarer                                         </v>
          </cell>
          <cell r="S753" t="str">
            <v xml:space="preserve">Professional Fees                                 </v>
          </cell>
        </row>
        <row r="754">
          <cell r="Q754" t="str">
            <v>OE6183</v>
          </cell>
          <cell r="R754" t="str">
            <v xml:space="preserve">Husleie, vedlikehold, lys, varme                  </v>
          </cell>
          <cell r="S754" t="str">
            <v xml:space="preserve">Rental, maintaince costs, electrisity, heating    </v>
          </cell>
        </row>
        <row r="755">
          <cell r="Q755" t="str">
            <v>OE6184</v>
          </cell>
          <cell r="R755" t="str">
            <v xml:space="preserve">Ikke aktivert utstyr                              </v>
          </cell>
          <cell r="S755" t="str">
            <v xml:space="preserve">Non-capitalized equipment                         </v>
          </cell>
        </row>
        <row r="756">
          <cell r="Q756" t="str">
            <v>OE6185</v>
          </cell>
          <cell r="R756" t="str">
            <v xml:space="preserve">Kontorkostnader                                   </v>
          </cell>
          <cell r="S756" t="str">
            <v xml:space="preserve">Office expenses                                   </v>
          </cell>
        </row>
        <row r="757">
          <cell r="Q757" t="str">
            <v>OE6186</v>
          </cell>
          <cell r="R757" t="str">
            <v xml:space="preserve">PR, reklame, kampanjer                            </v>
          </cell>
          <cell r="S757" t="str">
            <v xml:space="preserve">PR, advertising and campaigns                     </v>
          </cell>
        </row>
        <row r="758">
          <cell r="Q758" t="str">
            <v>OE6187</v>
          </cell>
          <cell r="R758" t="str">
            <v xml:space="preserve">Provisjoner                                       </v>
          </cell>
          <cell r="S758" t="str">
            <v xml:space="preserve">Commision                                         </v>
          </cell>
        </row>
        <row r="759">
          <cell r="Q759" t="str">
            <v>OE6188</v>
          </cell>
          <cell r="R759" t="str">
            <v xml:space="preserve">Redaksjonelt stoff                                </v>
          </cell>
          <cell r="S759" t="str">
            <v xml:space="preserve">Editorial material                                </v>
          </cell>
        </row>
        <row r="760">
          <cell r="Q760" t="str">
            <v>OE6189</v>
          </cell>
          <cell r="R760" t="str">
            <v xml:space="preserve">Reiser og møter                                   </v>
          </cell>
          <cell r="S760" t="str">
            <v xml:space="preserve">Travelling and meetings                           </v>
          </cell>
        </row>
        <row r="761">
          <cell r="Q761" t="str">
            <v>OE6190</v>
          </cell>
          <cell r="R761" t="str">
            <v xml:space="preserve">Tele, frakt og porto                              </v>
          </cell>
          <cell r="S761" t="str">
            <v xml:space="preserve">Telephone, freight and mail-expenses              </v>
          </cell>
        </row>
        <row r="762">
          <cell r="Q762" t="str">
            <v>OE6191</v>
          </cell>
          <cell r="R762" t="str">
            <v xml:space="preserve">Telekostnader / linjeleie                         </v>
          </cell>
          <cell r="S762" t="str">
            <v xml:space="preserve">Telecommunication / leased lines                  </v>
          </cell>
        </row>
        <row r="763">
          <cell r="Q763" t="str">
            <v>OE6192</v>
          </cell>
          <cell r="R763" t="str">
            <v xml:space="preserve">Trykkerioppdrag / -entrepriser                    </v>
          </cell>
          <cell r="S763" t="str">
            <v xml:space="preserve">Printing contracts                                </v>
          </cell>
        </row>
        <row r="764">
          <cell r="Q764" t="str">
            <v>OE6193</v>
          </cell>
          <cell r="R764" t="str">
            <v>Nedskrivning av varige driftsmidler og immatr.eien</v>
          </cell>
          <cell r="S764" t="str">
            <v xml:space="preserve">Write-downs on fixed assets &amp; intangeble assets   </v>
          </cell>
        </row>
        <row r="765">
          <cell r="Q765" t="str">
            <v>OE6197</v>
          </cell>
          <cell r="R765" t="str">
            <v xml:space="preserve">Andre driftskostnader                             </v>
          </cell>
          <cell r="S765" t="str">
            <v xml:space="preserve">Other operating expenses                          </v>
          </cell>
        </row>
        <row r="766">
          <cell r="Q766" t="str">
            <v>OE6198</v>
          </cell>
          <cell r="R766" t="str">
            <v xml:space="preserve">Sum øvrige driftskostnader                        </v>
          </cell>
          <cell r="S766" t="str">
            <v xml:space="preserve">Total other operating expenses                    </v>
          </cell>
        </row>
        <row r="767">
          <cell r="Q767" t="str">
            <v>OE6199</v>
          </cell>
          <cell r="R767" t="str">
            <v xml:space="preserve">Sum andre driftskostnader                         </v>
          </cell>
          <cell r="S767" t="str">
            <v xml:space="preserve">Total other operating expenses                    </v>
          </cell>
        </row>
        <row r="768">
          <cell r="Q768" t="str">
            <v>OR3401</v>
          </cell>
          <cell r="R768" t="str">
            <v xml:space="preserve">Royalty                                           </v>
          </cell>
          <cell r="S768" t="str">
            <v xml:space="preserve">Royalty                                           </v>
          </cell>
        </row>
        <row r="769">
          <cell r="Q769" t="str">
            <v>OR3406</v>
          </cell>
          <cell r="R769" t="str">
            <v xml:space="preserve">Sum andre inntekter Fellesfunksjoner              </v>
          </cell>
          <cell r="S769" t="str">
            <v xml:space="preserve">Total other revenues Joint functions              </v>
          </cell>
        </row>
        <row r="770">
          <cell r="Q770" t="str">
            <v>OR3420</v>
          </cell>
          <cell r="R770" t="str">
            <v xml:space="preserve">Sum andre inntekter Fellesfunksjoner              </v>
          </cell>
          <cell r="S770" t="str">
            <v xml:space="preserve">Total other revenues Joint functions              </v>
          </cell>
        </row>
        <row r="771">
          <cell r="Q771" t="str">
            <v>OR3430</v>
          </cell>
          <cell r="R771" t="str">
            <v xml:space="preserve">Database abonnement                               </v>
          </cell>
          <cell r="S771" t="str">
            <v xml:space="preserve">DataBase subscription                             </v>
          </cell>
        </row>
        <row r="772">
          <cell r="Q772" t="str">
            <v>OR3431</v>
          </cell>
          <cell r="R772" t="str">
            <v xml:space="preserve">E-handel                                          </v>
          </cell>
          <cell r="S772" t="str">
            <v xml:space="preserve">Electronic commerce                               </v>
          </cell>
        </row>
        <row r="773">
          <cell r="Q773" t="str">
            <v>OR3432</v>
          </cell>
          <cell r="R773" t="str">
            <v xml:space="preserve">Elektroniske tjenester                            </v>
          </cell>
          <cell r="S773" t="str">
            <v xml:space="preserve">Electronic services                               </v>
          </cell>
        </row>
        <row r="774">
          <cell r="Q774" t="str">
            <v>OR3433</v>
          </cell>
          <cell r="R774" t="str">
            <v xml:space="preserve">Forlagsinntekter                                  </v>
          </cell>
          <cell r="S774" t="str">
            <v xml:space="preserve">Publishing                                        </v>
          </cell>
        </row>
        <row r="775">
          <cell r="Q775" t="str">
            <v>OR3434</v>
          </cell>
          <cell r="R775" t="str">
            <v xml:space="preserve">Husleieinntekter                                  </v>
          </cell>
          <cell r="S775" t="str">
            <v xml:space="preserve">Rent                                              </v>
          </cell>
        </row>
        <row r="776">
          <cell r="Q776" t="str">
            <v>OR3435</v>
          </cell>
          <cell r="R776" t="str">
            <v xml:space="preserve">Kino                                              </v>
          </cell>
          <cell r="S776" t="str">
            <v xml:space="preserve">Cinema                                            </v>
          </cell>
        </row>
        <row r="777">
          <cell r="Q777" t="str">
            <v>OR3436</v>
          </cell>
          <cell r="R777" t="str">
            <v xml:space="preserve">Konsulentinntekter                                </v>
          </cell>
          <cell r="S777" t="str">
            <v xml:space="preserve">Consultancy services                              </v>
          </cell>
        </row>
        <row r="778">
          <cell r="Q778" t="str">
            <v>OR3437</v>
          </cell>
          <cell r="R778" t="str">
            <v xml:space="preserve">Provisjoner                                       </v>
          </cell>
          <cell r="S778" t="str">
            <v xml:space="preserve">Provisions                                        </v>
          </cell>
        </row>
        <row r="779">
          <cell r="Q779" t="str">
            <v>OR3438</v>
          </cell>
          <cell r="R779" t="str">
            <v xml:space="preserve">Reklameproduksjon                                 </v>
          </cell>
          <cell r="S779" t="str">
            <v xml:space="preserve">Commersials                                       </v>
          </cell>
        </row>
        <row r="780">
          <cell r="Q780" t="str">
            <v>OR3439</v>
          </cell>
          <cell r="R780" t="str">
            <v xml:space="preserve">Salgsgevinst                                      </v>
          </cell>
          <cell r="S780" t="str">
            <v xml:space="preserve">Profit on disposal                                </v>
          </cell>
        </row>
        <row r="781">
          <cell r="Q781" t="str">
            <v>OR3440</v>
          </cell>
          <cell r="R781" t="str">
            <v xml:space="preserve">Sum andre inntekter Avis                          </v>
          </cell>
          <cell r="S781" t="str">
            <v xml:space="preserve">Total other revenues Newspapers                   </v>
          </cell>
        </row>
        <row r="782">
          <cell r="Q782" t="str">
            <v>OR3450</v>
          </cell>
          <cell r="R782" t="str">
            <v xml:space="preserve">Samdistribusjon                                   </v>
          </cell>
          <cell r="S782" t="str">
            <v xml:space="preserve">Joint operations                                  </v>
          </cell>
        </row>
        <row r="783">
          <cell r="Q783" t="str">
            <v>OR3451</v>
          </cell>
          <cell r="R783" t="str">
            <v xml:space="preserve">Statlige bidrag                                   </v>
          </cell>
          <cell r="S783" t="str">
            <v xml:space="preserve">Govermental Contribution                          </v>
          </cell>
        </row>
        <row r="784">
          <cell r="Q784" t="str">
            <v>OR3452</v>
          </cell>
          <cell r="R784" t="str">
            <v xml:space="preserve">Stykksalg fra egne arkiv                          </v>
          </cell>
          <cell r="S784" t="str">
            <v xml:space="preserve">Sales from own archives                           </v>
          </cell>
        </row>
        <row r="785">
          <cell r="Q785" t="str">
            <v>OR3453</v>
          </cell>
          <cell r="R785" t="str">
            <v xml:space="preserve">Trykkerioppdrag og -entrepriser                   </v>
          </cell>
          <cell r="S785" t="str">
            <v xml:space="preserve">Printing services                                 </v>
          </cell>
        </row>
        <row r="786">
          <cell r="Q786" t="str">
            <v>OR3454</v>
          </cell>
          <cell r="R786" t="str">
            <v xml:space="preserve">TV&amp;Film inntekter                                 </v>
          </cell>
          <cell r="S786" t="str">
            <v xml:space="preserve">TV&amp;Film revenues                                  </v>
          </cell>
        </row>
        <row r="787">
          <cell r="Q787" t="str">
            <v>OR3455</v>
          </cell>
          <cell r="R787" t="str">
            <v xml:space="preserve">TV produksjon                                     </v>
          </cell>
          <cell r="S787" t="str">
            <v xml:space="preserve">TV Productions                                    </v>
          </cell>
        </row>
        <row r="788">
          <cell r="Q788" t="str">
            <v>OR3456</v>
          </cell>
          <cell r="R788" t="str">
            <v xml:space="preserve">Video &amp; film distribusjon                         </v>
          </cell>
          <cell r="S788" t="str">
            <v xml:space="preserve">Video &amp; film distribution                         </v>
          </cell>
        </row>
        <row r="789">
          <cell r="Q789" t="str">
            <v>OR3459</v>
          </cell>
          <cell r="R789" t="str">
            <v xml:space="preserve">Andre inntekter                                   </v>
          </cell>
          <cell r="S789" t="str">
            <v xml:space="preserve">Other revenues                                    </v>
          </cell>
        </row>
        <row r="790">
          <cell r="Q790" t="str">
            <v>OR3460</v>
          </cell>
          <cell r="R790" t="str">
            <v xml:space="preserve">Sum andre inntekter TV/ Film                      </v>
          </cell>
          <cell r="S790" t="str">
            <v xml:space="preserve">Total other revenues TV/ Film                     </v>
          </cell>
        </row>
        <row r="791">
          <cell r="Q791" t="str">
            <v>OR3480</v>
          </cell>
          <cell r="R791" t="str">
            <v xml:space="preserve">Sum andre inntekter Multimedia                    </v>
          </cell>
          <cell r="S791" t="str">
            <v xml:space="preserve">Total other revenues Multimedia                   </v>
          </cell>
        </row>
        <row r="792">
          <cell r="Q792" t="str">
            <v>OR3498</v>
          </cell>
          <cell r="R792" t="str">
            <v xml:space="preserve">Sum øvrige driftsinntekter                        </v>
          </cell>
          <cell r="S792" t="str">
            <v xml:space="preserve">Total other revenues                              </v>
          </cell>
        </row>
        <row r="793">
          <cell r="Q793" t="str">
            <v>OR3499</v>
          </cell>
          <cell r="R793" t="str">
            <v xml:space="preserve">Sum andre driftsinntekter                         </v>
          </cell>
          <cell r="S793" t="str">
            <v xml:space="preserve">Total other revenues                              </v>
          </cell>
        </row>
        <row r="794">
          <cell r="Q794" t="str">
            <v>P5101</v>
          </cell>
          <cell r="R794" t="str">
            <v xml:space="preserve">Lønnskostnader                                    </v>
          </cell>
          <cell r="S794" t="str">
            <v xml:space="preserve">Salaries, wages                                   </v>
          </cell>
        </row>
        <row r="795">
          <cell r="Q795" t="str">
            <v>P5102</v>
          </cell>
          <cell r="R795" t="str">
            <v xml:space="preserve">Arbeidsgiveravgift                                </v>
          </cell>
          <cell r="S795" t="str">
            <v xml:space="preserve">Social security costs                             </v>
          </cell>
        </row>
        <row r="796">
          <cell r="Q796" t="str">
            <v>P5103</v>
          </cell>
          <cell r="R796" t="str">
            <v xml:space="preserve">Pensjonskostnader                                 </v>
          </cell>
          <cell r="S796" t="str">
            <v xml:space="preserve">Pension cost                                      </v>
          </cell>
        </row>
        <row r="797">
          <cell r="Q797" t="str">
            <v>P5104</v>
          </cell>
          <cell r="R797" t="str">
            <v xml:space="preserve">Andre personalkostnader                           </v>
          </cell>
          <cell r="S797" t="str">
            <v xml:space="preserve">Other personnel expenses                          </v>
          </cell>
        </row>
        <row r="798">
          <cell r="Q798" t="str">
            <v>P5199</v>
          </cell>
          <cell r="R798" t="str">
            <v xml:space="preserve">Sum lønnskostnader                                </v>
          </cell>
          <cell r="S798" t="str">
            <v xml:space="preserve">Total personnel expenses                          </v>
          </cell>
        </row>
        <row r="799">
          <cell r="Q799" t="str">
            <v>ROCBC</v>
          </cell>
          <cell r="R799" t="str">
            <v xml:space="preserve">Resultat / Endring                                </v>
          </cell>
          <cell r="S799" t="str">
            <v xml:space="preserve">RES / Change                                      </v>
          </cell>
        </row>
        <row r="800">
          <cell r="Q800" t="str">
            <v>ROCBC901</v>
          </cell>
          <cell r="R800" t="str">
            <v xml:space="preserve">[BU] Immaterielle eiendeler                       </v>
          </cell>
          <cell r="S800" t="str">
            <v xml:space="preserve">[BU] Intangible assets                            </v>
          </cell>
        </row>
        <row r="801">
          <cell r="Q801" t="str">
            <v>ROCBC903</v>
          </cell>
          <cell r="R801" t="str">
            <v xml:space="preserve">[BU] Varige driftsmidler                          </v>
          </cell>
          <cell r="S801" t="str">
            <v xml:space="preserve">[BU] Operating assets                             </v>
          </cell>
        </row>
        <row r="802">
          <cell r="Q802" t="str">
            <v>ROCBC905</v>
          </cell>
          <cell r="R802" t="str">
            <v xml:space="preserve">[BU] Finansielle anleggsmidler                    </v>
          </cell>
          <cell r="S802" t="str">
            <v xml:space="preserve">[BU] Financial assets                             </v>
          </cell>
        </row>
        <row r="803">
          <cell r="Q803" t="str">
            <v>ROCBC907</v>
          </cell>
          <cell r="R803" t="str">
            <v xml:space="preserve">[BU] Fordringer på konsern                        </v>
          </cell>
          <cell r="S803" t="str">
            <v xml:space="preserve">[BU] Group receivables                            </v>
          </cell>
        </row>
        <row r="804">
          <cell r="Q804" t="str">
            <v>ROCBC909</v>
          </cell>
          <cell r="R804" t="str">
            <v>[BU] JUST Rentebærende inkludert i fin anleggsmidl</v>
          </cell>
          <cell r="S804" t="str">
            <v xml:space="preserve">[BU] JUST interest bearing incluided above        </v>
          </cell>
        </row>
        <row r="805">
          <cell r="Q805" t="str">
            <v>ROCBC911</v>
          </cell>
          <cell r="R805" t="str">
            <v xml:space="preserve">[BU] Varelager                                    </v>
          </cell>
          <cell r="S805" t="str">
            <v xml:space="preserve">[BU] Inventories                                  </v>
          </cell>
        </row>
        <row r="806">
          <cell r="Q806" t="str">
            <v>ROCBC913</v>
          </cell>
          <cell r="R806" t="str">
            <v xml:space="preserve">[BU] Kundefordringer                              </v>
          </cell>
          <cell r="S806" t="str">
            <v xml:space="preserve">[BU] Accounts receivable                          </v>
          </cell>
        </row>
        <row r="807">
          <cell r="Q807" t="str">
            <v>ROCBC915</v>
          </cell>
          <cell r="R807" t="str">
            <v xml:space="preserve">[BU] Forskuddsbetalt til leverandør               </v>
          </cell>
          <cell r="S807" t="str">
            <v xml:space="preserve">[BU] Prepayments                                  </v>
          </cell>
        </row>
        <row r="808">
          <cell r="Q808" t="str">
            <v>ROCBC917</v>
          </cell>
          <cell r="R808" t="str">
            <v xml:space="preserve">[BU] Kortsiktige fordringer konsern               </v>
          </cell>
          <cell r="S808" t="str">
            <v xml:space="preserve">[BU] Short term intercompany receivables          </v>
          </cell>
        </row>
        <row r="809">
          <cell r="Q809" t="str">
            <v>ROCBC919</v>
          </cell>
          <cell r="R809" t="str">
            <v xml:space="preserve">[BU] Andre kortsiktige fordringer                 </v>
          </cell>
          <cell r="S809" t="str">
            <v xml:space="preserve">[BU] Other short term receivables                 </v>
          </cell>
        </row>
        <row r="810">
          <cell r="Q810" t="str">
            <v>ROCBC921</v>
          </cell>
          <cell r="R810" t="str">
            <v xml:space="preserve">[BU] JUST rentebærende inkludert over             </v>
          </cell>
          <cell r="S810" t="str">
            <v xml:space="preserve">[BU] JUST interest bearing incluided above        </v>
          </cell>
        </row>
        <row r="811">
          <cell r="Q811" t="str">
            <v>ROCBC923</v>
          </cell>
          <cell r="R811" t="str">
            <v xml:space="preserve">[BU] Investering i aksjer                         </v>
          </cell>
          <cell r="S811" t="str">
            <v xml:space="preserve">[BU] Investment in shares                         </v>
          </cell>
        </row>
        <row r="812">
          <cell r="Q812" t="str">
            <v>ROCBC925</v>
          </cell>
          <cell r="R812" t="str">
            <v xml:space="preserve">[BU] Avsetning for forpliktelser                  </v>
          </cell>
          <cell r="S812" t="str">
            <v xml:space="preserve">[BU] Total appropriation of obligations           </v>
          </cell>
        </row>
        <row r="813">
          <cell r="Q813" t="str">
            <v>ROCBC927</v>
          </cell>
          <cell r="R813" t="str">
            <v xml:space="preserve">[BU] Leverandørgjeld                              </v>
          </cell>
          <cell r="S813" t="str">
            <v xml:space="preserve">[BU] Accounts payable                             </v>
          </cell>
        </row>
        <row r="814">
          <cell r="Q814" t="str">
            <v>ROCBC929</v>
          </cell>
          <cell r="R814" t="str">
            <v xml:space="preserve">[BU] Annen langsiktig gjeld                       </v>
          </cell>
          <cell r="S814" t="str">
            <v xml:space="preserve">[BU] Other long term debt                         </v>
          </cell>
        </row>
        <row r="815">
          <cell r="Q815" t="str">
            <v>ROCBC931</v>
          </cell>
          <cell r="R815" t="str">
            <v xml:space="preserve">[BU] Forskuddsbetaling fra kunder                 </v>
          </cell>
          <cell r="S815" t="str">
            <v xml:space="preserve">[BU] Receivables prepayments                      </v>
          </cell>
        </row>
        <row r="816">
          <cell r="Q816" t="str">
            <v>ROCBC933</v>
          </cell>
          <cell r="R816" t="str">
            <v xml:space="preserve">[BU] Betalbare skatter                            </v>
          </cell>
          <cell r="S816" t="str">
            <v xml:space="preserve">[BU] Taxes payable                                </v>
          </cell>
        </row>
        <row r="817">
          <cell r="Q817" t="str">
            <v>ROCBC935</v>
          </cell>
          <cell r="R817" t="str">
            <v xml:space="preserve">[BU] Skyldige offentlige avgifter                 </v>
          </cell>
          <cell r="S817" t="str">
            <v xml:space="preserve">[BU] Accrued public dues                          </v>
          </cell>
        </row>
        <row r="818">
          <cell r="Q818" t="str">
            <v>ROCBC937</v>
          </cell>
          <cell r="R818" t="str">
            <v xml:space="preserve">[BU] Skyldig utbytte                              </v>
          </cell>
          <cell r="S818" t="str">
            <v xml:space="preserve">[BU] Proposed dividend                            </v>
          </cell>
        </row>
        <row r="819">
          <cell r="Q819" t="str">
            <v>ROCBC939</v>
          </cell>
          <cell r="R819" t="str">
            <v xml:space="preserve">[BU] Kortsiktig gjeld konsern                     </v>
          </cell>
          <cell r="S819" t="str">
            <v xml:space="preserve">[BU] Current liabilities to group companies       </v>
          </cell>
        </row>
        <row r="820">
          <cell r="Q820" t="str">
            <v>ROCBC941</v>
          </cell>
          <cell r="R820" t="str">
            <v xml:space="preserve">[BU] Påløpt lønn                                  </v>
          </cell>
          <cell r="S820" t="str">
            <v xml:space="preserve">[BU] Payable salary                               </v>
          </cell>
        </row>
        <row r="821">
          <cell r="Q821" t="str">
            <v>ROCBC943</v>
          </cell>
          <cell r="R821" t="str">
            <v xml:space="preserve">[BU] Annen kortsiktig gjeld                       </v>
          </cell>
          <cell r="S821" t="str">
            <v xml:space="preserve">[BU] Other current liabilities                    </v>
          </cell>
        </row>
        <row r="822">
          <cell r="Q822" t="str">
            <v>ROCBC945</v>
          </cell>
          <cell r="R822" t="str">
            <v xml:space="preserve">[BU] Sum sysselsatt kapital                       </v>
          </cell>
          <cell r="S822" t="str">
            <v xml:space="preserve">[BU] Total capital employed                       </v>
          </cell>
        </row>
        <row r="823">
          <cell r="Q823" t="str">
            <v>ROCBC947</v>
          </cell>
          <cell r="R823" t="str">
            <v xml:space="preserve">[BU] Gj snitt syselsatt kapital                   </v>
          </cell>
          <cell r="S823" t="str">
            <v xml:space="preserve">[BU] Average capital employed                     </v>
          </cell>
        </row>
        <row r="824">
          <cell r="Q824" t="str">
            <v>ROCBC949</v>
          </cell>
          <cell r="R824" t="str">
            <v xml:space="preserve">[BU] Driftsresultat                               </v>
          </cell>
          <cell r="S824" t="str">
            <v xml:space="preserve">[BU] Operating profit                             </v>
          </cell>
        </row>
        <row r="825">
          <cell r="Q825" t="str">
            <v>ROCBC951</v>
          </cell>
          <cell r="R825" t="str">
            <v xml:space="preserve">[BU] Andre finansinntekter                        </v>
          </cell>
          <cell r="S825" t="str">
            <v xml:space="preserve">[BU] Financial income                             </v>
          </cell>
        </row>
        <row r="826">
          <cell r="Q826" t="str">
            <v>ROCBC953</v>
          </cell>
          <cell r="R826" t="str">
            <v xml:space="preserve">[BU] Andre finanskostnader                        </v>
          </cell>
          <cell r="S826" t="str">
            <v xml:space="preserve">[BU] Financial expenses                           </v>
          </cell>
        </row>
        <row r="827">
          <cell r="Q827" t="str">
            <v>ROCBC955</v>
          </cell>
          <cell r="R827" t="str">
            <v xml:space="preserve">[BU] Tilknyttede selskaper                        </v>
          </cell>
          <cell r="S827" t="str">
            <v xml:space="preserve">[BU] Assosiated companies                         </v>
          </cell>
        </row>
        <row r="828">
          <cell r="Q828" t="str">
            <v>ROCBC957</v>
          </cell>
          <cell r="R828" t="str">
            <v xml:space="preserve">[BU] Inntekt henførbar til sys kapital            </v>
          </cell>
          <cell r="S828" t="str">
            <v xml:space="preserve">[BU] Income refering to capital employed          </v>
          </cell>
        </row>
        <row r="829">
          <cell r="Q829" t="str">
            <v>ROCBC959</v>
          </cell>
          <cell r="R829" t="str">
            <v xml:space="preserve">[BU] Avkastning sysselsatt kapital                </v>
          </cell>
          <cell r="S829" t="str">
            <v xml:space="preserve">[BU] Return on capital employed                   </v>
          </cell>
        </row>
        <row r="830">
          <cell r="Q830" t="str">
            <v>ROCBI</v>
          </cell>
          <cell r="R830" t="str">
            <v xml:space="preserve">Inngående balanse                                 </v>
          </cell>
          <cell r="S830" t="str">
            <v xml:space="preserve">Opening balances                                  </v>
          </cell>
        </row>
        <row r="831">
          <cell r="Q831" t="str">
            <v>ROCBI901</v>
          </cell>
          <cell r="R831" t="str">
            <v xml:space="preserve">[BU] Immaterielle eiendeler                       </v>
          </cell>
          <cell r="S831" t="str">
            <v xml:space="preserve">[BU] Intangeble assets                            </v>
          </cell>
        </row>
        <row r="832">
          <cell r="Q832" t="str">
            <v>ROCBI903</v>
          </cell>
          <cell r="R832" t="str">
            <v xml:space="preserve">[BU] Varige driftsmidler                          </v>
          </cell>
          <cell r="S832" t="str">
            <v xml:space="preserve">[BU] Operating assets                             </v>
          </cell>
        </row>
        <row r="833">
          <cell r="Q833" t="str">
            <v>ROCBI905</v>
          </cell>
          <cell r="R833" t="str">
            <v xml:space="preserve">[BU] Finansielle anleggsmidler                    </v>
          </cell>
          <cell r="S833" t="str">
            <v xml:space="preserve">[BU] Financial assets                             </v>
          </cell>
        </row>
        <row r="834">
          <cell r="Q834" t="str">
            <v>ROCBI907</v>
          </cell>
          <cell r="R834" t="str">
            <v xml:space="preserve">[BU] Fordringer på konsern                        </v>
          </cell>
          <cell r="S834" t="str">
            <v xml:space="preserve">[BU] Group receivables                            </v>
          </cell>
        </row>
        <row r="835">
          <cell r="Q835" t="str">
            <v>ROCBI909</v>
          </cell>
          <cell r="R835" t="str">
            <v xml:space="preserve">[BU] JUST rentebærende (langs)                    </v>
          </cell>
          <cell r="S835" t="str">
            <v xml:space="preserve">[BU] JUST Interest bearing included above         </v>
          </cell>
        </row>
        <row r="836">
          <cell r="Q836" t="str">
            <v>ROCBI911</v>
          </cell>
          <cell r="R836" t="str">
            <v xml:space="preserve">[BU] Varelager                                    </v>
          </cell>
          <cell r="S836" t="str">
            <v xml:space="preserve">[BU] Inventories                                  </v>
          </cell>
        </row>
        <row r="837">
          <cell r="Q837" t="str">
            <v>ROCBI913</v>
          </cell>
          <cell r="R837" t="str">
            <v xml:space="preserve">[BU]  Kundefordringer                             </v>
          </cell>
          <cell r="S837" t="str">
            <v xml:space="preserve">[BU] Accounts payable                             </v>
          </cell>
        </row>
        <row r="838">
          <cell r="Q838" t="str">
            <v>ROCBI915</v>
          </cell>
          <cell r="R838" t="str">
            <v xml:space="preserve">[BU]  Forskudd til leverandør                     </v>
          </cell>
          <cell r="S838" t="str">
            <v xml:space="preserve">[BU] Prepayments                                  </v>
          </cell>
        </row>
        <row r="839">
          <cell r="Q839" t="str">
            <v>ROCBI917</v>
          </cell>
          <cell r="R839" t="str">
            <v xml:space="preserve">[BU]  Kortsiktige fordr konsern                   </v>
          </cell>
          <cell r="S839" t="str">
            <v xml:space="preserve">[BU] Short term intercompany receivables          </v>
          </cell>
        </row>
        <row r="840">
          <cell r="Q840" t="str">
            <v>ROCBI919</v>
          </cell>
          <cell r="R840" t="str">
            <v xml:space="preserve">[BU]  Andre kortsiktige fordringer                </v>
          </cell>
          <cell r="S840" t="str">
            <v xml:space="preserve">[BU] Other short term receivables                 </v>
          </cell>
        </row>
        <row r="841">
          <cell r="Q841" t="str">
            <v>ROCBI921</v>
          </cell>
          <cell r="R841" t="str">
            <v xml:space="preserve">[BU]  JUST rentebærende (korts)                   </v>
          </cell>
          <cell r="S841" t="str">
            <v xml:space="preserve">[BU] JUST Interest bearing included above         </v>
          </cell>
        </row>
        <row r="842">
          <cell r="Q842" t="str">
            <v>ROCBI923</v>
          </cell>
          <cell r="R842" t="str">
            <v xml:space="preserve">[BU]  Investering i aksjer                        </v>
          </cell>
          <cell r="S842" t="str">
            <v xml:space="preserve">[BU] Investments in shares                        </v>
          </cell>
        </row>
        <row r="843">
          <cell r="Q843" t="str">
            <v>ROCBI925</v>
          </cell>
          <cell r="R843" t="str">
            <v xml:space="preserve">[BU]  Avsetning for forpliktelser                 </v>
          </cell>
          <cell r="S843" t="str">
            <v xml:space="preserve">[BU] Total appropriation of obligations           </v>
          </cell>
        </row>
        <row r="844">
          <cell r="Q844" t="str">
            <v>ROCBI927</v>
          </cell>
          <cell r="R844" t="str">
            <v xml:space="preserve">[BU]  Annen langsiktig gjeld                      </v>
          </cell>
          <cell r="S844" t="str">
            <v xml:space="preserve">[BU] Other long term debt                         </v>
          </cell>
        </row>
        <row r="845">
          <cell r="Q845" t="str">
            <v>ROCBI929</v>
          </cell>
          <cell r="R845" t="str">
            <v xml:space="preserve">[BU]  Leverandørgjeld                             </v>
          </cell>
          <cell r="S845" t="str">
            <v xml:space="preserve">[BU] Acconts payable                              </v>
          </cell>
        </row>
        <row r="846">
          <cell r="Q846" t="str">
            <v>ROCBI931</v>
          </cell>
          <cell r="R846" t="str">
            <v xml:space="preserve">[BU]  Forskudd fra kunder                         </v>
          </cell>
          <cell r="S846" t="str">
            <v xml:space="preserve">[BU] Receivable prepayments                       </v>
          </cell>
        </row>
        <row r="847">
          <cell r="Q847" t="str">
            <v>ROCBI933</v>
          </cell>
          <cell r="R847" t="str">
            <v xml:space="preserve">[BU]  Betalbare skatter                           </v>
          </cell>
          <cell r="S847" t="str">
            <v xml:space="preserve">[BU] Taxes payable                                </v>
          </cell>
        </row>
        <row r="848">
          <cell r="Q848" t="str">
            <v>ROCBI935</v>
          </cell>
          <cell r="R848" t="str">
            <v xml:space="preserve">[BU]  Skyldige offentlige avgifter                </v>
          </cell>
          <cell r="S848" t="str">
            <v xml:space="preserve">[BU] Accrued public dues                          </v>
          </cell>
        </row>
        <row r="849">
          <cell r="Q849" t="str">
            <v>ROCBI937</v>
          </cell>
          <cell r="R849" t="str">
            <v xml:space="preserve">[BU]  Skyldig utbytte                             </v>
          </cell>
          <cell r="S849" t="str">
            <v xml:space="preserve">[BU] Proposed dividend                            </v>
          </cell>
        </row>
        <row r="850">
          <cell r="Q850" t="str">
            <v>ROCBI939</v>
          </cell>
          <cell r="R850" t="str">
            <v xml:space="preserve">[BU]  Kortsiktig gjeld til konsern                </v>
          </cell>
          <cell r="S850" t="str">
            <v xml:space="preserve">[BU] Current liabilities to group companies       </v>
          </cell>
        </row>
        <row r="851">
          <cell r="Q851" t="str">
            <v>ROCBI941</v>
          </cell>
          <cell r="R851" t="str">
            <v xml:space="preserve">[BU]  Påløpt lønn                                 </v>
          </cell>
          <cell r="S851" t="str">
            <v xml:space="preserve">[BU] Payable salary                               </v>
          </cell>
        </row>
        <row r="852">
          <cell r="Q852" t="str">
            <v>ROCBI943</v>
          </cell>
          <cell r="R852" t="str">
            <v xml:space="preserve">[BU]  Annen kortsiktig gjeld                      </v>
          </cell>
          <cell r="S852" t="str">
            <v xml:space="preserve">[BU] Other current liabiblities                   </v>
          </cell>
        </row>
        <row r="853">
          <cell r="Q853" t="str">
            <v>ROCBI945</v>
          </cell>
          <cell r="R853" t="str">
            <v xml:space="preserve">[BU] Sum sysselsatt kapital                       </v>
          </cell>
          <cell r="S853" t="str">
            <v xml:space="preserve">[BU] Total capital employed                       </v>
          </cell>
        </row>
        <row r="854">
          <cell r="Q854" t="str">
            <v>ROCBI947</v>
          </cell>
          <cell r="R854" t="str">
            <v xml:space="preserve">[BU]  Gjennomsnittlig sysselsatt kapital          </v>
          </cell>
          <cell r="S854" t="str">
            <v xml:space="preserve">[BU] Avrage capital employed                      </v>
          </cell>
        </row>
        <row r="855">
          <cell r="Q855" t="str">
            <v>ROCBI949</v>
          </cell>
          <cell r="R855" t="str">
            <v xml:space="preserve">[BU]  Driftsresultat (ikke brukt)                 </v>
          </cell>
          <cell r="S855" t="str">
            <v xml:space="preserve">[BU] Operating profit                             </v>
          </cell>
        </row>
        <row r="856">
          <cell r="Q856" t="str">
            <v>ROCBI951</v>
          </cell>
          <cell r="R856" t="str">
            <v xml:space="preserve">[BU]  Andre finansinntekter (ikke brukt)          </v>
          </cell>
          <cell r="S856" t="str">
            <v xml:space="preserve">[BU] Financial income                             </v>
          </cell>
        </row>
        <row r="857">
          <cell r="Q857" t="str">
            <v>ROCBI953</v>
          </cell>
          <cell r="R857" t="str">
            <v xml:space="preserve">[BU]  Andre finanskostnader (ikke brukt)          </v>
          </cell>
          <cell r="S857" t="str">
            <v xml:space="preserve">[BU] Financial expence                            </v>
          </cell>
        </row>
        <row r="858">
          <cell r="Q858" t="str">
            <v>ROCBI955</v>
          </cell>
          <cell r="R858" t="str">
            <v xml:space="preserve">[BU] Tilknyttede selskap (ikke brukt)             </v>
          </cell>
          <cell r="S858" t="str">
            <v xml:space="preserve">[BU] Assosiated companies                         </v>
          </cell>
        </row>
        <row r="859">
          <cell r="Q859" t="str">
            <v>ROCBI957</v>
          </cell>
          <cell r="R859" t="str">
            <v>[BU]  Inntekt henførbar til sysselsatt kapital ( i</v>
          </cell>
          <cell r="S859" t="str">
            <v xml:space="preserve">[BU] Income refering to capital employed          </v>
          </cell>
        </row>
        <row r="860">
          <cell r="Q860" t="str">
            <v>ROCBI959</v>
          </cell>
          <cell r="R860" t="str">
            <v xml:space="preserve">[BU]  Avkastning sysselsatt kapital               </v>
          </cell>
          <cell r="S860" t="str">
            <v xml:space="preserve">[BU] Return on capital employed                   </v>
          </cell>
        </row>
        <row r="861">
          <cell r="Q861" t="str">
            <v>ROCBU</v>
          </cell>
          <cell r="R861" t="str">
            <v xml:space="preserve">[BU] Utgående balanse                             </v>
          </cell>
          <cell r="S861" t="str">
            <v xml:space="preserve">Closing balances                                  </v>
          </cell>
        </row>
        <row r="862">
          <cell r="Q862" t="str">
            <v>ROCBU901</v>
          </cell>
          <cell r="R862" t="str">
            <v xml:space="preserve">[BU] Immaterielle eiendeler                       </v>
          </cell>
          <cell r="S862" t="str">
            <v xml:space="preserve">[BU] Intangeble assets                            </v>
          </cell>
        </row>
        <row r="863">
          <cell r="Q863" t="str">
            <v>ROCBU903</v>
          </cell>
          <cell r="R863" t="str">
            <v xml:space="preserve">[BU] Varige driftsmidler                          </v>
          </cell>
          <cell r="S863" t="str">
            <v xml:space="preserve">[BU] Operating assets                             </v>
          </cell>
        </row>
        <row r="864">
          <cell r="Q864" t="str">
            <v>ROCBU905</v>
          </cell>
          <cell r="R864" t="str">
            <v xml:space="preserve">[BU] Finanaielle anleggsmidler                    </v>
          </cell>
          <cell r="S864" t="str">
            <v xml:space="preserve">[BU] Financial assets                             </v>
          </cell>
        </row>
        <row r="865">
          <cell r="Q865" t="str">
            <v>ROCBU907</v>
          </cell>
          <cell r="R865" t="str">
            <v xml:space="preserve">[BU] Fordringer på konsern                        </v>
          </cell>
          <cell r="S865" t="str">
            <v xml:space="preserve">[BU] Group receivables                            </v>
          </cell>
        </row>
        <row r="866">
          <cell r="Q866" t="str">
            <v>ROCBU909</v>
          </cell>
          <cell r="R866" t="str">
            <v xml:space="preserve">[BU] JUST rentebærende inkludert ovenfor          </v>
          </cell>
          <cell r="S866" t="str">
            <v xml:space="preserve">[BU] JUST interest bearing included above         </v>
          </cell>
        </row>
        <row r="867">
          <cell r="Q867" t="str">
            <v>ROCBU911</v>
          </cell>
          <cell r="R867" t="str">
            <v xml:space="preserve">[BU] Varelager                                    </v>
          </cell>
          <cell r="S867" t="str">
            <v xml:space="preserve">[BU] Inventories                                  </v>
          </cell>
        </row>
        <row r="868">
          <cell r="Q868" t="str">
            <v>ROCBU913</v>
          </cell>
          <cell r="R868" t="str">
            <v xml:space="preserve">[BU] Kundefordringer                              </v>
          </cell>
          <cell r="S868" t="str">
            <v xml:space="preserve">[BU] Accounts receivables                         </v>
          </cell>
        </row>
        <row r="869">
          <cell r="Q869" t="str">
            <v>ROCBU915</v>
          </cell>
          <cell r="R869" t="str">
            <v xml:space="preserve">[BU] Forskuddsbetalt til leverandør               </v>
          </cell>
          <cell r="S869" t="str">
            <v xml:space="preserve">[BU] Prepayments                                  </v>
          </cell>
        </row>
        <row r="870">
          <cell r="Q870" t="str">
            <v>ROCBU917</v>
          </cell>
          <cell r="R870" t="str">
            <v xml:space="preserve">[BU] Kortsiktige fordringer konsern               </v>
          </cell>
          <cell r="S870" t="str">
            <v xml:space="preserve">[BU] Short term intercompany receivables          </v>
          </cell>
        </row>
        <row r="871">
          <cell r="Q871" t="str">
            <v>ROCBU919</v>
          </cell>
          <cell r="R871" t="str">
            <v xml:space="preserve">[BU] Andre kortsiktige fordringer                 </v>
          </cell>
          <cell r="S871" t="str">
            <v xml:space="preserve">[BU] Other short term receivables                 </v>
          </cell>
        </row>
        <row r="872">
          <cell r="Q872" t="str">
            <v>ROCBU921</v>
          </cell>
          <cell r="R872" t="str">
            <v xml:space="preserve">[BU] JUST rentebærende inkludert ovenfor          </v>
          </cell>
          <cell r="S872" t="str">
            <v xml:space="preserve">[BU] JUST Interest bearing included above         </v>
          </cell>
        </row>
        <row r="873">
          <cell r="Q873" t="str">
            <v>ROCBU923</v>
          </cell>
          <cell r="R873" t="str">
            <v xml:space="preserve">[BU] Investering i aksjer                         </v>
          </cell>
          <cell r="S873" t="str">
            <v xml:space="preserve">[BU] Investment in shares                         </v>
          </cell>
        </row>
        <row r="874">
          <cell r="Q874" t="str">
            <v>ROCBU925</v>
          </cell>
          <cell r="R874" t="str">
            <v xml:space="preserve">[BU] Avsetning for forpliktelser                  </v>
          </cell>
          <cell r="S874" t="str">
            <v xml:space="preserve">[BU] Total approproation of obligations           </v>
          </cell>
        </row>
        <row r="875">
          <cell r="Q875" t="str">
            <v>ROCBU927</v>
          </cell>
          <cell r="R875" t="str">
            <v xml:space="preserve">[BU] Leverandørgjeld                              </v>
          </cell>
          <cell r="S875" t="str">
            <v xml:space="preserve">[BU] Accounts payable                             </v>
          </cell>
        </row>
        <row r="876">
          <cell r="Q876" t="str">
            <v>ROCBU929</v>
          </cell>
          <cell r="R876" t="str">
            <v xml:space="preserve">[BU] Annen langsiktig gjeld                       </v>
          </cell>
          <cell r="S876" t="str">
            <v xml:space="preserve">[BU] Other long term debt                         </v>
          </cell>
        </row>
        <row r="877">
          <cell r="Q877" t="str">
            <v>ROCBU931</v>
          </cell>
          <cell r="R877" t="str">
            <v xml:space="preserve">[BU] Forskuddsbetaling fra kunder                 </v>
          </cell>
          <cell r="S877" t="str">
            <v xml:space="preserve">[BU] Receivable prepayment                        </v>
          </cell>
        </row>
        <row r="878">
          <cell r="Q878" t="str">
            <v>ROCBU933</v>
          </cell>
          <cell r="R878" t="str">
            <v xml:space="preserve">[BU] Betalbare skatter                            </v>
          </cell>
          <cell r="S878" t="str">
            <v xml:space="preserve">[BU] Taxes payable                                </v>
          </cell>
        </row>
        <row r="879">
          <cell r="Q879" t="str">
            <v>ROCBU935</v>
          </cell>
          <cell r="R879" t="str">
            <v xml:space="preserve">[BU] Skyldige offentlige avgifter                 </v>
          </cell>
          <cell r="S879" t="str">
            <v xml:space="preserve">[BU] Accured public dues                          </v>
          </cell>
        </row>
        <row r="880">
          <cell r="Q880" t="str">
            <v>ROCBU937</v>
          </cell>
          <cell r="R880" t="str">
            <v xml:space="preserve">[BU] Skyldig utbytte                              </v>
          </cell>
          <cell r="S880" t="str">
            <v xml:space="preserve">[BU] Proposed dividend                            </v>
          </cell>
        </row>
        <row r="881">
          <cell r="Q881" t="str">
            <v>ROCBU939</v>
          </cell>
          <cell r="R881" t="str">
            <v xml:space="preserve">[BU] Kortsiktig gjeld kosern                      </v>
          </cell>
          <cell r="S881" t="str">
            <v xml:space="preserve">[BU] Current liabilities to group companies       </v>
          </cell>
        </row>
        <row r="882">
          <cell r="Q882" t="str">
            <v>ROCBU941</v>
          </cell>
          <cell r="R882" t="str">
            <v xml:space="preserve">[BU] Påløpt lønn                                  </v>
          </cell>
          <cell r="S882" t="str">
            <v xml:space="preserve">[BU] Payable salary                               </v>
          </cell>
        </row>
        <row r="883">
          <cell r="Q883" t="str">
            <v>ROCBU943</v>
          </cell>
          <cell r="R883" t="str">
            <v xml:space="preserve">[BU] Annen kortsiktig gjeld                       </v>
          </cell>
          <cell r="S883" t="str">
            <v xml:space="preserve">[BU] Other current liabiliities                   </v>
          </cell>
        </row>
        <row r="884">
          <cell r="Q884" t="str">
            <v>ROCBU945</v>
          </cell>
          <cell r="R884" t="str">
            <v xml:space="preserve">[BU] Sum sysselsatt kapital                       </v>
          </cell>
          <cell r="S884" t="str">
            <v xml:space="preserve">[BU] Total capital employd                        </v>
          </cell>
        </row>
        <row r="885">
          <cell r="Q885" t="str">
            <v>ROCBU947</v>
          </cell>
          <cell r="R885" t="str">
            <v xml:space="preserve">[BU] Gjennomsnittelig sysselsatt kapital          </v>
          </cell>
          <cell r="S885" t="str">
            <v xml:space="preserve">[BU] Avrage capital employed                      </v>
          </cell>
        </row>
        <row r="886">
          <cell r="Q886" t="str">
            <v>ROCBU949</v>
          </cell>
          <cell r="R886" t="str">
            <v xml:space="preserve">[BU] Driftsresultat                               </v>
          </cell>
          <cell r="S886" t="str">
            <v xml:space="preserve">[BU] Operating profit                             </v>
          </cell>
        </row>
        <row r="887">
          <cell r="Q887" t="str">
            <v>ROCBU951</v>
          </cell>
          <cell r="R887" t="str">
            <v xml:space="preserve">[BU] Andre finansinntekter                        </v>
          </cell>
          <cell r="S887" t="str">
            <v xml:space="preserve">[BU] Financial income                             </v>
          </cell>
        </row>
        <row r="888">
          <cell r="Q888" t="str">
            <v>ROCBU953</v>
          </cell>
          <cell r="R888" t="str">
            <v xml:space="preserve">[BU] Andre finanskostnader                        </v>
          </cell>
          <cell r="S888" t="str">
            <v xml:space="preserve">[BU] Financial expence                            </v>
          </cell>
        </row>
        <row r="889">
          <cell r="Q889" t="str">
            <v>ROCBU955</v>
          </cell>
          <cell r="R889" t="str">
            <v xml:space="preserve">[BU] Tilknyttede selskaper                        </v>
          </cell>
          <cell r="S889" t="str">
            <v xml:space="preserve">[BU] Assosiated companies                         </v>
          </cell>
        </row>
        <row r="890">
          <cell r="Q890" t="str">
            <v>ROCBU957</v>
          </cell>
          <cell r="R890" t="str">
            <v xml:space="preserve">[BU] Inntekt hensynførbar til syselsatt kapital   </v>
          </cell>
          <cell r="S890" t="str">
            <v xml:space="preserve">[BU] Income refering to capital employed          </v>
          </cell>
        </row>
        <row r="891">
          <cell r="Q891" t="str">
            <v>ROCBU959</v>
          </cell>
          <cell r="R891" t="str">
            <v xml:space="preserve">[BU] Avkastning sysselsatt kapital                </v>
          </cell>
          <cell r="S891" t="str">
            <v xml:space="preserve">[BU] Return on capital employed                   </v>
          </cell>
        </row>
        <row r="892">
          <cell r="Q892" t="str">
            <v>ROCHA</v>
          </cell>
          <cell r="R892" t="str">
            <v xml:space="preserve">Resultat / Endring                                </v>
          </cell>
          <cell r="S892" t="str">
            <v xml:space="preserve">RES / Change                                      </v>
          </cell>
        </row>
        <row r="893">
          <cell r="Q893" t="str">
            <v>ROCHA900</v>
          </cell>
          <cell r="R893" t="str">
            <v xml:space="preserve">Immaterielle eiendeler                            </v>
          </cell>
          <cell r="S893" t="str">
            <v xml:space="preserve">Intangible assets                                 </v>
          </cell>
        </row>
        <row r="894">
          <cell r="Q894" t="str">
            <v>ROCHA902</v>
          </cell>
          <cell r="R894" t="str">
            <v xml:space="preserve">Varige driftsmidler                               </v>
          </cell>
          <cell r="S894" t="str">
            <v xml:space="preserve">Operating assets                                  </v>
          </cell>
        </row>
        <row r="895">
          <cell r="Q895" t="str">
            <v>ROCHA904</v>
          </cell>
          <cell r="R895" t="str">
            <v xml:space="preserve">Finansielle eiendeler                             </v>
          </cell>
          <cell r="S895" t="str">
            <v xml:space="preserve">Financial assets                                  </v>
          </cell>
        </row>
        <row r="896">
          <cell r="Q896" t="str">
            <v>ROCHA906</v>
          </cell>
          <cell r="R896" t="str">
            <v xml:space="preserve">Fordringer på konsern                             </v>
          </cell>
          <cell r="S896" t="str">
            <v xml:space="preserve">Group receivables                                 </v>
          </cell>
        </row>
        <row r="897">
          <cell r="Q897" t="str">
            <v>ROCHA908</v>
          </cell>
          <cell r="R897" t="str">
            <v xml:space="preserve">JUST rentebærende inkludert over                  </v>
          </cell>
          <cell r="S897" t="str">
            <v xml:space="preserve">JUST interest bearing included above              </v>
          </cell>
        </row>
        <row r="898">
          <cell r="Q898" t="str">
            <v>ROCHA910</v>
          </cell>
          <cell r="R898" t="str">
            <v xml:space="preserve">Varelager                                         </v>
          </cell>
          <cell r="S898" t="str">
            <v xml:space="preserve">Inventories                                       </v>
          </cell>
        </row>
        <row r="899">
          <cell r="Q899" t="str">
            <v>ROCHA912</v>
          </cell>
          <cell r="R899" t="str">
            <v xml:space="preserve">Kundefordringer                                   </v>
          </cell>
          <cell r="S899" t="str">
            <v xml:space="preserve">Accounts receivables                              </v>
          </cell>
        </row>
        <row r="900">
          <cell r="Q900" t="str">
            <v>ROCHA914</v>
          </cell>
          <cell r="R900" t="str">
            <v xml:space="preserve">Forskuddbetalt til leverandør                     </v>
          </cell>
          <cell r="S900" t="str">
            <v xml:space="preserve">Prepayments                                       </v>
          </cell>
        </row>
        <row r="901">
          <cell r="Q901" t="str">
            <v>ROCHA916</v>
          </cell>
          <cell r="R901" t="str">
            <v xml:space="preserve">Kortsiktige fordringer konsern                    </v>
          </cell>
          <cell r="S901" t="str">
            <v xml:space="preserve">Short term receivables                            </v>
          </cell>
        </row>
        <row r="902">
          <cell r="Q902" t="str">
            <v>ROCHA918</v>
          </cell>
          <cell r="R902" t="str">
            <v xml:space="preserve">Andre kortsiktige fordringer                      </v>
          </cell>
          <cell r="S902" t="str">
            <v xml:space="preserve">Other short term receivables                      </v>
          </cell>
        </row>
        <row r="903">
          <cell r="Q903" t="str">
            <v>ROCHA920</v>
          </cell>
          <cell r="R903" t="str">
            <v xml:space="preserve">JUST rentebærende inkludert over                  </v>
          </cell>
          <cell r="S903" t="str">
            <v xml:space="preserve">JUST interest bearing included above              </v>
          </cell>
        </row>
        <row r="904">
          <cell r="Q904" t="str">
            <v>ROCHA922</v>
          </cell>
          <cell r="R904" t="str">
            <v xml:space="preserve">Investering i aksjer                              </v>
          </cell>
          <cell r="S904" t="str">
            <v xml:space="preserve">Investments in shares                             </v>
          </cell>
        </row>
        <row r="905">
          <cell r="Q905" t="str">
            <v>ROCHA924</v>
          </cell>
          <cell r="R905" t="str">
            <v xml:space="preserve">Avsetning for forpliktelser                       </v>
          </cell>
          <cell r="S905" t="str">
            <v xml:space="preserve">Total appropriaton of obligations                 </v>
          </cell>
        </row>
        <row r="906">
          <cell r="Q906" t="str">
            <v>ROCHA926</v>
          </cell>
          <cell r="R906" t="str">
            <v xml:space="preserve">Leverandørgjeld                                   </v>
          </cell>
          <cell r="S906" t="str">
            <v xml:space="preserve">Accounts payable                                  </v>
          </cell>
        </row>
        <row r="907">
          <cell r="Q907" t="str">
            <v>ROCHA928</v>
          </cell>
          <cell r="R907" t="str">
            <v xml:space="preserve">Annen langsiktig gjeld                            </v>
          </cell>
          <cell r="S907" t="str">
            <v xml:space="preserve">Other long-term debt                              </v>
          </cell>
        </row>
        <row r="908">
          <cell r="Q908" t="str">
            <v>ROCHA930</v>
          </cell>
          <cell r="R908" t="str">
            <v xml:space="preserve">Forskuddsbetaling fra kunder                      </v>
          </cell>
          <cell r="S908" t="str">
            <v xml:space="preserve">Receivables prepayment                            </v>
          </cell>
        </row>
        <row r="909">
          <cell r="Q909" t="str">
            <v>ROCHA932</v>
          </cell>
          <cell r="R909" t="str">
            <v xml:space="preserve">Betalbare skatter                                 </v>
          </cell>
          <cell r="S909" t="str">
            <v xml:space="preserve">Taxes payable                                     </v>
          </cell>
        </row>
        <row r="910">
          <cell r="Q910" t="str">
            <v>ROCHA934</v>
          </cell>
          <cell r="R910" t="str">
            <v xml:space="preserve">Skyldige offentlige avgifter                      </v>
          </cell>
          <cell r="S910" t="str">
            <v xml:space="preserve">Accrued public dues                               </v>
          </cell>
        </row>
        <row r="911">
          <cell r="Q911" t="str">
            <v>ROCHA936</v>
          </cell>
          <cell r="R911" t="str">
            <v xml:space="preserve">Skyldig utbytte                                   </v>
          </cell>
          <cell r="S911" t="str">
            <v xml:space="preserve">Proposed dividend                                 </v>
          </cell>
        </row>
        <row r="912">
          <cell r="Q912" t="str">
            <v>ROCHA938</v>
          </cell>
          <cell r="R912" t="str">
            <v xml:space="preserve">Kortsiktig gjeld til konsern                      </v>
          </cell>
          <cell r="S912" t="str">
            <v xml:space="preserve">Current liabillities to group companies           </v>
          </cell>
        </row>
        <row r="913">
          <cell r="Q913" t="str">
            <v>ROCHA940</v>
          </cell>
          <cell r="R913" t="str">
            <v xml:space="preserve">Påløpt lønn                                       </v>
          </cell>
          <cell r="S913" t="str">
            <v xml:space="preserve">Paybale salary                                    </v>
          </cell>
        </row>
        <row r="914">
          <cell r="Q914" t="str">
            <v>ROCHA942</v>
          </cell>
          <cell r="R914" t="str">
            <v xml:space="preserve">Annen kortsikig gjeld                             </v>
          </cell>
          <cell r="S914" t="str">
            <v xml:space="preserve">Other current liabilities                         </v>
          </cell>
        </row>
        <row r="915">
          <cell r="Q915" t="str">
            <v>ROCHA943</v>
          </cell>
          <cell r="R915" t="str">
            <v xml:space="preserve">ROCHA / RO-943                                    </v>
          </cell>
          <cell r="S915" t="str">
            <v xml:space="preserve">ROCHA / RO-943                                    </v>
          </cell>
        </row>
        <row r="916">
          <cell r="Q916" t="str">
            <v>ROCHA944</v>
          </cell>
          <cell r="R916" t="str">
            <v xml:space="preserve">Total capital employed                            </v>
          </cell>
          <cell r="S916" t="str">
            <v xml:space="preserve">Total capital employed                            </v>
          </cell>
        </row>
        <row r="917">
          <cell r="Q917" t="str">
            <v>ROCHA946</v>
          </cell>
          <cell r="R917" t="str">
            <v xml:space="preserve">Driftsresultat                                    </v>
          </cell>
          <cell r="S917" t="str">
            <v xml:space="preserve">Operating profit                                  </v>
          </cell>
        </row>
        <row r="918">
          <cell r="Q918" t="str">
            <v>ROCHA948</v>
          </cell>
          <cell r="R918" t="str">
            <v xml:space="preserve">Andre finansinntekter                             </v>
          </cell>
          <cell r="S918" t="str">
            <v xml:space="preserve">Financial income                                  </v>
          </cell>
        </row>
        <row r="919">
          <cell r="Q919" t="str">
            <v>ROCHA950</v>
          </cell>
          <cell r="R919" t="str">
            <v xml:space="preserve">Andre finanskostnader                             </v>
          </cell>
          <cell r="S919" t="str">
            <v xml:space="preserve">Financial expenses                                </v>
          </cell>
        </row>
        <row r="920">
          <cell r="Q920" t="str">
            <v>ROCHA952</v>
          </cell>
          <cell r="R920" t="str">
            <v xml:space="preserve">Tilknyttede selskaper                             </v>
          </cell>
          <cell r="S920" t="str">
            <v xml:space="preserve">Assosiated companies                              </v>
          </cell>
        </row>
        <row r="921">
          <cell r="Q921" t="str">
            <v>ROCHA954</v>
          </cell>
          <cell r="R921" t="str">
            <v xml:space="preserve">Inntekt henførbar til sys.kapital                 </v>
          </cell>
          <cell r="S921" t="str">
            <v xml:space="preserve">Income refering to capital employed               </v>
          </cell>
        </row>
        <row r="922">
          <cell r="Q922" t="str">
            <v>ROCHA956</v>
          </cell>
          <cell r="R922" t="str">
            <v xml:space="preserve">Avkastning syselsatt kapital                      </v>
          </cell>
          <cell r="S922" t="str">
            <v xml:space="preserve">Return on capital employed                        </v>
          </cell>
        </row>
        <row r="923">
          <cell r="Q923" t="str">
            <v>ROCHA960</v>
          </cell>
          <cell r="R923" t="str">
            <v xml:space="preserve">Avkastning sysselsatt kapital                     </v>
          </cell>
          <cell r="S923" t="str">
            <v xml:space="preserve">Avrage employed capital                           </v>
          </cell>
        </row>
        <row r="924">
          <cell r="Q924" t="str">
            <v>ROCIB</v>
          </cell>
          <cell r="R924" t="str">
            <v xml:space="preserve">Inngående balanse                                 </v>
          </cell>
          <cell r="S924" t="str">
            <v xml:space="preserve">Opening balances                                  </v>
          </cell>
        </row>
        <row r="925">
          <cell r="Q925" t="str">
            <v>ROCIB900</v>
          </cell>
          <cell r="R925" t="str">
            <v xml:space="preserve">Immaterielle eiendeler                            </v>
          </cell>
          <cell r="S925" t="str">
            <v xml:space="preserve">Intangeble assets                                 </v>
          </cell>
        </row>
        <row r="926">
          <cell r="Q926" t="str">
            <v>ROCIB902</v>
          </cell>
          <cell r="R926" t="str">
            <v xml:space="preserve">Varige driftsmidler                               </v>
          </cell>
          <cell r="S926" t="str">
            <v xml:space="preserve">Operating assets                                  </v>
          </cell>
        </row>
        <row r="927">
          <cell r="Q927" t="str">
            <v>ROCIB904</v>
          </cell>
          <cell r="R927" t="str">
            <v xml:space="preserve">Finansielle anleggsmidler                         </v>
          </cell>
          <cell r="S927" t="str">
            <v xml:space="preserve">Financial assets                                  </v>
          </cell>
        </row>
        <row r="928">
          <cell r="Q928" t="str">
            <v>ROCIB906</v>
          </cell>
          <cell r="R928" t="str">
            <v xml:space="preserve">Fordringer på konsern                             </v>
          </cell>
          <cell r="S928" t="str">
            <v xml:space="preserve">Group receivables                                 </v>
          </cell>
        </row>
        <row r="929">
          <cell r="Q929" t="str">
            <v>ROCIB908</v>
          </cell>
          <cell r="R929" t="str">
            <v xml:space="preserve">JUST rentebærende inkludert over                  </v>
          </cell>
          <cell r="S929" t="str">
            <v xml:space="preserve">JUST interest bearing included above              </v>
          </cell>
        </row>
        <row r="930">
          <cell r="Q930" t="str">
            <v>ROCIB910</v>
          </cell>
          <cell r="R930" t="str">
            <v xml:space="preserve">Varelager                                         </v>
          </cell>
          <cell r="S930" t="str">
            <v xml:space="preserve">Inventories                                       </v>
          </cell>
        </row>
        <row r="931">
          <cell r="Q931" t="str">
            <v>ROCIB912</v>
          </cell>
          <cell r="R931" t="str">
            <v xml:space="preserve">Kundefordringer                                   </v>
          </cell>
          <cell r="S931" t="str">
            <v xml:space="preserve">Accounts receivable                               </v>
          </cell>
        </row>
        <row r="932">
          <cell r="Q932" t="str">
            <v>ROCIB914</v>
          </cell>
          <cell r="R932" t="str">
            <v xml:space="preserve">Forskuddsbetalt til leverandør                    </v>
          </cell>
          <cell r="S932" t="str">
            <v xml:space="preserve">Prepayments                                       </v>
          </cell>
        </row>
        <row r="933">
          <cell r="Q933" t="str">
            <v>ROCIB916</v>
          </cell>
          <cell r="R933" t="str">
            <v xml:space="preserve">Kortsiktige fordringer konsern                    </v>
          </cell>
          <cell r="S933" t="str">
            <v xml:space="preserve">Short-term intercompany receivables               </v>
          </cell>
        </row>
        <row r="934">
          <cell r="Q934" t="str">
            <v>ROCIB918</v>
          </cell>
          <cell r="R934" t="str">
            <v xml:space="preserve">Andre kortsiktige fordringer                      </v>
          </cell>
          <cell r="S934" t="str">
            <v xml:space="preserve">Other short term receivables                      </v>
          </cell>
        </row>
        <row r="935">
          <cell r="Q935" t="str">
            <v>ROCIB920</v>
          </cell>
          <cell r="R935" t="str">
            <v xml:space="preserve">JUST rentebærende inkludert over                  </v>
          </cell>
          <cell r="S935" t="str">
            <v xml:space="preserve">JUST interest beraring included above             </v>
          </cell>
        </row>
        <row r="936">
          <cell r="Q936" t="str">
            <v>ROCIB922</v>
          </cell>
          <cell r="R936" t="str">
            <v xml:space="preserve">Investering i aksjer                              </v>
          </cell>
          <cell r="S936" t="str">
            <v xml:space="preserve">Investments in shares                             </v>
          </cell>
        </row>
        <row r="937">
          <cell r="Q937" t="str">
            <v>ROCIB924</v>
          </cell>
          <cell r="R937" t="str">
            <v xml:space="preserve">Avsetning for forpliktelser                       </v>
          </cell>
          <cell r="S937" t="str">
            <v xml:space="preserve">Total long term debt                              </v>
          </cell>
        </row>
        <row r="938">
          <cell r="Q938" t="str">
            <v>ROCIB926</v>
          </cell>
          <cell r="R938" t="str">
            <v xml:space="preserve">Leverandørgjeld                                   </v>
          </cell>
          <cell r="S938" t="str">
            <v xml:space="preserve">Accounts payable                                  </v>
          </cell>
        </row>
        <row r="939">
          <cell r="Q939" t="str">
            <v>ROCIB928</v>
          </cell>
          <cell r="R939" t="str">
            <v xml:space="preserve">Annen langsiktig gjeld                            </v>
          </cell>
          <cell r="S939" t="str">
            <v xml:space="preserve">Other long term debt                              </v>
          </cell>
        </row>
        <row r="940">
          <cell r="Q940" t="str">
            <v>ROCIB930</v>
          </cell>
          <cell r="R940" t="str">
            <v xml:space="preserve">Forskuddsbetaling fra kunder                      </v>
          </cell>
          <cell r="S940" t="str">
            <v xml:space="preserve">Receivables prepayments                           </v>
          </cell>
        </row>
        <row r="941">
          <cell r="Q941" t="str">
            <v>ROCIB932</v>
          </cell>
          <cell r="R941" t="str">
            <v xml:space="preserve">Betalbare skatter                                 </v>
          </cell>
          <cell r="S941" t="str">
            <v xml:space="preserve">Taxes payable                                     </v>
          </cell>
        </row>
        <row r="942">
          <cell r="Q942" t="str">
            <v>ROCIB934</v>
          </cell>
          <cell r="R942" t="str">
            <v xml:space="preserve">Skyldige offentlige avgifter                      </v>
          </cell>
          <cell r="S942" t="str">
            <v xml:space="preserve">Accrued public dues                               </v>
          </cell>
        </row>
        <row r="943">
          <cell r="Q943" t="str">
            <v>ROCIB936</v>
          </cell>
          <cell r="R943" t="str">
            <v xml:space="preserve">Skyldig utbytte                                   </v>
          </cell>
          <cell r="S943" t="str">
            <v xml:space="preserve">Proposed dividend                                 </v>
          </cell>
        </row>
        <row r="944">
          <cell r="Q944" t="str">
            <v>ROCIB938</v>
          </cell>
          <cell r="R944" t="str">
            <v xml:space="preserve">Kortsiktig gjeld til konsern                      </v>
          </cell>
          <cell r="S944" t="str">
            <v xml:space="preserve">Current liabilities to group companies            </v>
          </cell>
        </row>
        <row r="945">
          <cell r="Q945" t="str">
            <v>ROCIB940</v>
          </cell>
          <cell r="R945" t="str">
            <v xml:space="preserve">Påløpt lønn                                       </v>
          </cell>
          <cell r="S945" t="str">
            <v xml:space="preserve">Payable salary                                    </v>
          </cell>
        </row>
        <row r="946">
          <cell r="Q946" t="str">
            <v>ROCIB942</v>
          </cell>
          <cell r="R946" t="str">
            <v xml:space="preserve">Annen kortsiktig gjeld                            </v>
          </cell>
          <cell r="S946" t="str">
            <v xml:space="preserve">Other current liabilities                         </v>
          </cell>
        </row>
        <row r="947">
          <cell r="Q947" t="str">
            <v>ROCIB943</v>
          </cell>
          <cell r="R947" t="str">
            <v xml:space="preserve">Annen kortsiktig gjeld                            </v>
          </cell>
          <cell r="S947" t="str">
            <v xml:space="preserve">Other current liabilities                         </v>
          </cell>
        </row>
        <row r="948">
          <cell r="Q948" t="str">
            <v>ROCIB944</v>
          </cell>
          <cell r="R948" t="str">
            <v xml:space="preserve">Sum sysselsatt kapital                            </v>
          </cell>
          <cell r="S948" t="str">
            <v xml:space="preserve">Total employed capital                            </v>
          </cell>
        </row>
        <row r="949">
          <cell r="Q949" t="str">
            <v>ROCIB946</v>
          </cell>
          <cell r="R949" t="str">
            <v xml:space="preserve">Driftsresultat                                    </v>
          </cell>
          <cell r="S949" t="str">
            <v xml:space="preserve">Operating profit                                  </v>
          </cell>
        </row>
        <row r="950">
          <cell r="Q950" t="str">
            <v>ROCIB948</v>
          </cell>
          <cell r="R950" t="str">
            <v xml:space="preserve">Andre finansinntekter                             </v>
          </cell>
          <cell r="S950" t="str">
            <v xml:space="preserve">Financial income                                  </v>
          </cell>
        </row>
        <row r="951">
          <cell r="Q951" t="str">
            <v>ROCIB950</v>
          </cell>
          <cell r="R951" t="str">
            <v xml:space="preserve">Andre finanskostnader                             </v>
          </cell>
          <cell r="S951" t="str">
            <v xml:space="preserve">Finansial expences                                </v>
          </cell>
        </row>
        <row r="952">
          <cell r="Q952" t="str">
            <v>ROCIB952</v>
          </cell>
          <cell r="R952" t="str">
            <v xml:space="preserve">Tilknyttede selskaper                             </v>
          </cell>
          <cell r="S952" t="str">
            <v xml:space="preserve">Assosiated companies                              </v>
          </cell>
        </row>
        <row r="953">
          <cell r="Q953" t="str">
            <v>ROCIB954</v>
          </cell>
          <cell r="R953" t="str">
            <v xml:space="preserve">Inntekt henførbar til sys.kapital                 </v>
          </cell>
          <cell r="S953" t="str">
            <v xml:space="preserve">Income refering to capital employed               </v>
          </cell>
        </row>
        <row r="954">
          <cell r="Q954" t="str">
            <v>ROCIB956</v>
          </cell>
          <cell r="R954" t="str">
            <v xml:space="preserve">Avkastning sysselsatt kapital                     </v>
          </cell>
          <cell r="S954" t="str">
            <v xml:space="preserve">Return on capital employed                        </v>
          </cell>
        </row>
        <row r="955">
          <cell r="Q955" t="str">
            <v>ROCIB960</v>
          </cell>
          <cell r="R955" t="str">
            <v xml:space="preserve">ROCIB Gjennomsnittlig sysselsatt kapital          </v>
          </cell>
          <cell r="S955" t="str">
            <v xml:space="preserve">Average employed capital                          </v>
          </cell>
        </row>
        <row r="956">
          <cell r="Q956" t="str">
            <v>ROCUB</v>
          </cell>
          <cell r="R956" t="str">
            <v xml:space="preserve">Utgående balanse                                  </v>
          </cell>
          <cell r="S956" t="str">
            <v xml:space="preserve">Closing balances                                  </v>
          </cell>
        </row>
        <row r="957">
          <cell r="Q957" t="str">
            <v>ROCUB900</v>
          </cell>
          <cell r="R957" t="str">
            <v xml:space="preserve">Immaterielle eiendeler                            </v>
          </cell>
          <cell r="S957" t="str">
            <v xml:space="preserve">Intangeble assets                                 </v>
          </cell>
        </row>
        <row r="958">
          <cell r="Q958" t="str">
            <v>ROCUB902</v>
          </cell>
          <cell r="R958" t="str">
            <v xml:space="preserve">Varige driftsmidler                               </v>
          </cell>
          <cell r="S958" t="str">
            <v xml:space="preserve">Operating assets                                  </v>
          </cell>
        </row>
        <row r="959">
          <cell r="Q959" t="str">
            <v>ROCUB904</v>
          </cell>
          <cell r="R959" t="str">
            <v xml:space="preserve">Finansielle eiendeler                             </v>
          </cell>
          <cell r="S959" t="str">
            <v xml:space="preserve">Financial assets                                  </v>
          </cell>
        </row>
        <row r="960">
          <cell r="Q960" t="str">
            <v>ROCUB906</v>
          </cell>
          <cell r="R960" t="str">
            <v xml:space="preserve">Fordringer på konsern                             </v>
          </cell>
          <cell r="S960" t="str">
            <v xml:space="preserve">Group receivables                                 </v>
          </cell>
        </row>
        <row r="961">
          <cell r="Q961" t="str">
            <v>ROCUB908</v>
          </cell>
          <cell r="R961" t="str">
            <v xml:space="preserve">JUST rentebærende inkludert over                  </v>
          </cell>
          <cell r="S961" t="str">
            <v xml:space="preserve">JUST interest bearing included above              </v>
          </cell>
        </row>
        <row r="962">
          <cell r="Q962" t="str">
            <v>ROCUB910</v>
          </cell>
          <cell r="R962" t="str">
            <v xml:space="preserve">Varelager                                         </v>
          </cell>
          <cell r="S962" t="str">
            <v xml:space="preserve">Inventories                                       </v>
          </cell>
        </row>
        <row r="963">
          <cell r="Q963" t="str">
            <v>ROCUB912</v>
          </cell>
          <cell r="R963" t="str">
            <v xml:space="preserve">Kundefordringer                                   </v>
          </cell>
          <cell r="S963" t="str">
            <v xml:space="preserve">Accounts receivables                              </v>
          </cell>
        </row>
        <row r="964">
          <cell r="Q964" t="str">
            <v>ROCUB914</v>
          </cell>
          <cell r="R964" t="str">
            <v xml:space="preserve">Forskuddsbetalt til leverandør                    </v>
          </cell>
          <cell r="S964" t="str">
            <v xml:space="preserve">Prepayments                                       </v>
          </cell>
        </row>
        <row r="965">
          <cell r="Q965" t="str">
            <v>ROCUB916</v>
          </cell>
          <cell r="R965" t="str">
            <v xml:space="preserve">Kortsiktige fordringer konsern                    </v>
          </cell>
          <cell r="S965" t="str">
            <v xml:space="preserve">Short term intercompany receivables               </v>
          </cell>
        </row>
        <row r="966">
          <cell r="Q966" t="str">
            <v>ROCUB918</v>
          </cell>
          <cell r="R966" t="str">
            <v xml:space="preserve">Andre kortsiktige fordringer                      </v>
          </cell>
          <cell r="S966" t="str">
            <v xml:space="preserve">Other short term receivables                      </v>
          </cell>
        </row>
        <row r="967">
          <cell r="Q967" t="str">
            <v>ROCUB920</v>
          </cell>
          <cell r="R967" t="str">
            <v xml:space="preserve">JUST rentebærende inkludert over                  </v>
          </cell>
          <cell r="S967" t="str">
            <v xml:space="preserve">JUST interest bearing included above              </v>
          </cell>
        </row>
        <row r="968">
          <cell r="Q968" t="str">
            <v>ROCUB922</v>
          </cell>
          <cell r="R968" t="str">
            <v xml:space="preserve">Investering i aksjer                              </v>
          </cell>
          <cell r="S968" t="str">
            <v xml:space="preserve">Investmentes in shares                            </v>
          </cell>
        </row>
        <row r="969">
          <cell r="Q969" t="str">
            <v>ROCUB924</v>
          </cell>
          <cell r="R969" t="str">
            <v xml:space="preserve">Avsetninger for forpliktelser                     </v>
          </cell>
          <cell r="S969" t="str">
            <v xml:space="preserve">Total appropriation of obligations                </v>
          </cell>
        </row>
        <row r="970">
          <cell r="Q970" t="str">
            <v>ROCUB926</v>
          </cell>
          <cell r="R970" t="str">
            <v xml:space="preserve">Leverandørgjeld                                   </v>
          </cell>
          <cell r="S970" t="str">
            <v xml:space="preserve">Accounts payable                                  </v>
          </cell>
        </row>
        <row r="971">
          <cell r="Q971" t="str">
            <v>ROCUB928</v>
          </cell>
          <cell r="R971" t="str">
            <v xml:space="preserve">Annen langsiktig gjeld                            </v>
          </cell>
          <cell r="S971" t="str">
            <v xml:space="preserve">Other long-term debt                              </v>
          </cell>
        </row>
        <row r="972">
          <cell r="Q972" t="str">
            <v>ROCUB930</v>
          </cell>
          <cell r="R972" t="str">
            <v xml:space="preserve">Forskuddsbetaling fra kunder                      </v>
          </cell>
          <cell r="S972" t="str">
            <v xml:space="preserve">Receivables prepayments                           </v>
          </cell>
        </row>
        <row r="973">
          <cell r="Q973" t="str">
            <v>ROCUB932</v>
          </cell>
          <cell r="R973" t="str">
            <v xml:space="preserve">Betalbare skatter                                 </v>
          </cell>
          <cell r="S973" t="str">
            <v xml:space="preserve">Taxes payable                                     </v>
          </cell>
        </row>
        <row r="974">
          <cell r="Q974" t="str">
            <v>ROCUB934</v>
          </cell>
          <cell r="R974" t="str">
            <v xml:space="preserve">Skyldige offentlige avgifter                      </v>
          </cell>
          <cell r="S974" t="str">
            <v xml:space="preserve">Accrued public dues                               </v>
          </cell>
        </row>
        <row r="975">
          <cell r="Q975" t="str">
            <v>ROCUB936</v>
          </cell>
          <cell r="R975" t="str">
            <v xml:space="preserve">Skyldig utbytte                                   </v>
          </cell>
          <cell r="S975" t="str">
            <v xml:space="preserve">Proposed dividend                                 </v>
          </cell>
        </row>
        <row r="976">
          <cell r="Q976" t="str">
            <v>ROCUB938</v>
          </cell>
          <cell r="R976" t="str">
            <v xml:space="preserve">Kortsiktig gjeld til konsern                      </v>
          </cell>
          <cell r="S976" t="str">
            <v xml:space="preserve">Current liabilities to group companies            </v>
          </cell>
        </row>
        <row r="977">
          <cell r="Q977" t="str">
            <v>ROCUB940</v>
          </cell>
          <cell r="R977" t="str">
            <v xml:space="preserve">Påløpt lønn                                       </v>
          </cell>
          <cell r="S977" t="str">
            <v xml:space="preserve">Payable salary                                    </v>
          </cell>
        </row>
        <row r="978">
          <cell r="Q978" t="str">
            <v>ROCUB942</v>
          </cell>
          <cell r="R978" t="str">
            <v xml:space="preserve">Annen kortsiktig gjeld                            </v>
          </cell>
          <cell r="S978" t="str">
            <v xml:space="preserve">Other current liabilities                         </v>
          </cell>
        </row>
        <row r="979">
          <cell r="Q979" t="str">
            <v>ROCUB943</v>
          </cell>
          <cell r="R979" t="str">
            <v xml:space="preserve">/ RO-943                                          </v>
          </cell>
          <cell r="S979" t="str">
            <v xml:space="preserve">ROCE closing balance / RO-943                     </v>
          </cell>
        </row>
        <row r="980">
          <cell r="Q980" t="str">
            <v>ROCUB944</v>
          </cell>
          <cell r="R980" t="str">
            <v xml:space="preserve">Sum syselsatt kapital                             </v>
          </cell>
          <cell r="S980" t="str">
            <v xml:space="preserve">Total capital employed                            </v>
          </cell>
        </row>
        <row r="981">
          <cell r="Q981" t="str">
            <v>ROCUB946</v>
          </cell>
          <cell r="R981" t="str">
            <v xml:space="preserve">Driftsresultat                                    </v>
          </cell>
          <cell r="S981" t="str">
            <v xml:space="preserve">Operating profit                                  </v>
          </cell>
        </row>
        <row r="982">
          <cell r="Q982" t="str">
            <v>ROCUB948</v>
          </cell>
          <cell r="R982" t="str">
            <v xml:space="preserve">Andre finansinntekter                             </v>
          </cell>
          <cell r="S982" t="str">
            <v xml:space="preserve">Financial income                                  </v>
          </cell>
        </row>
        <row r="983">
          <cell r="Q983" t="str">
            <v>ROCUB950</v>
          </cell>
          <cell r="R983" t="str">
            <v xml:space="preserve">Andre finanskostnader                             </v>
          </cell>
          <cell r="S983" t="str">
            <v xml:space="preserve">Financial expenses                                </v>
          </cell>
        </row>
        <row r="984">
          <cell r="Q984" t="str">
            <v>ROCUB952</v>
          </cell>
          <cell r="R984" t="str">
            <v xml:space="preserve">Tilknyttede selskaper                             </v>
          </cell>
          <cell r="S984" t="str">
            <v xml:space="preserve">Assosiated companies                              </v>
          </cell>
        </row>
        <row r="985">
          <cell r="Q985" t="str">
            <v>ROCUB954</v>
          </cell>
          <cell r="R985" t="str">
            <v xml:space="preserve">Innt.henførbar til sys.kapital                    </v>
          </cell>
          <cell r="S985" t="str">
            <v xml:space="preserve">Income refering to capital employed               </v>
          </cell>
        </row>
        <row r="986">
          <cell r="Q986" t="str">
            <v>ROCUB956</v>
          </cell>
          <cell r="R986" t="str">
            <v xml:space="preserve">Avskastning sysselsatt kapital                    </v>
          </cell>
          <cell r="S986" t="str">
            <v xml:space="preserve">Return on capital employed                        </v>
          </cell>
        </row>
        <row r="987">
          <cell r="Q987" t="str">
            <v>ROCUB960</v>
          </cell>
          <cell r="R987" t="str">
            <v xml:space="preserve">Gjennomsnitt sysselsatt kapital                   </v>
          </cell>
          <cell r="S987" t="str">
            <v xml:space="preserve">Avrage capital employed                           </v>
          </cell>
        </row>
        <row r="988">
          <cell r="Q988" t="str">
            <v>S1110</v>
          </cell>
          <cell r="R988" t="str">
            <v xml:space="preserve">Goodwill (Bokført verdi)                          </v>
          </cell>
          <cell r="S988" t="str">
            <v xml:space="preserve">Goodwill (Booked value)                           </v>
          </cell>
        </row>
        <row r="989">
          <cell r="Q989" t="str">
            <v>S1110010</v>
          </cell>
          <cell r="R989" t="str">
            <v xml:space="preserve">Goodwill / Avskrivning%                           </v>
          </cell>
          <cell r="S989" t="str">
            <v xml:space="preserve">Goodwill / Depreciation%                          </v>
          </cell>
        </row>
        <row r="990">
          <cell r="Q990" t="str">
            <v>S1110110</v>
          </cell>
          <cell r="R990" t="str">
            <v xml:space="preserve">Goodwill / Nyanskaffelse                          </v>
          </cell>
          <cell r="S990" t="str">
            <v xml:space="preserve">Goodwill / Provided this year                     </v>
          </cell>
        </row>
        <row r="991">
          <cell r="Q991" t="str">
            <v>S1110111</v>
          </cell>
          <cell r="R991" t="str">
            <v xml:space="preserve">Goodwill / Nyanskaffelse kjøp av selskap          </v>
          </cell>
          <cell r="S991" t="str">
            <v xml:space="preserve">Goodwill / Provided purchase of company           </v>
          </cell>
        </row>
        <row r="992">
          <cell r="Q992" t="str">
            <v>S1110112</v>
          </cell>
          <cell r="R992" t="str">
            <v xml:space="preserve">Goodwill / Reklassifiseringer                     </v>
          </cell>
          <cell r="S992" t="str">
            <v xml:space="preserve">Goodwill / Reclassifications                      </v>
          </cell>
        </row>
        <row r="993">
          <cell r="Q993" t="str">
            <v>S1110120</v>
          </cell>
          <cell r="R993" t="str">
            <v xml:space="preserve">Goodwill / Avgang i år                            </v>
          </cell>
          <cell r="S993" t="str">
            <v xml:space="preserve">Goodwill / Sold &amp; Scrapped this year              </v>
          </cell>
        </row>
        <row r="994">
          <cell r="Q994" t="str">
            <v>S1110121</v>
          </cell>
          <cell r="R994" t="str">
            <v xml:space="preserve">Goodwill / Avgang ved salg av selskap             </v>
          </cell>
          <cell r="S994" t="str">
            <v xml:space="preserve">Goodwill / Sold companies                         </v>
          </cell>
        </row>
        <row r="995">
          <cell r="Q995" t="str">
            <v>S1110129</v>
          </cell>
          <cell r="R995" t="str">
            <v xml:space="preserve">Goodwill / Omregningsdifferanse                   </v>
          </cell>
          <cell r="S995" t="str">
            <v xml:space="preserve">Goodwill / Translation difference                 </v>
          </cell>
        </row>
        <row r="996">
          <cell r="Q996" t="str">
            <v>S1110130</v>
          </cell>
          <cell r="R996" t="str">
            <v xml:space="preserve">Goodwill / Anskaffelsesverdi 31.12                </v>
          </cell>
          <cell r="S996" t="str">
            <v xml:space="preserve">Goodwill / Purchase value 31.12                   </v>
          </cell>
        </row>
        <row r="997">
          <cell r="Q997" t="str">
            <v>S1110210</v>
          </cell>
          <cell r="R997" t="str">
            <v xml:space="preserve">Goodwill / Akkumulert avskrivning 01.01           </v>
          </cell>
          <cell r="S997" t="str">
            <v xml:space="preserve">Goodwill / Aggregated depreciation 01.01          </v>
          </cell>
        </row>
        <row r="998">
          <cell r="Q998" t="str">
            <v>S1110220</v>
          </cell>
          <cell r="R998" t="str">
            <v xml:space="preserve">Goodwill / Akk. avskr. solgte driftsmidler        </v>
          </cell>
          <cell r="S998" t="str">
            <v xml:space="preserve">Goodwill / Aggr.depr. sold                        </v>
          </cell>
        </row>
        <row r="999">
          <cell r="Q999" t="str">
            <v>S1110221</v>
          </cell>
          <cell r="R999" t="str">
            <v xml:space="preserve">Goodwill / Akk avskr. solgt virksomhet            </v>
          </cell>
          <cell r="S999" t="str">
            <v xml:space="preserve">Goodwill / Aggr. depr. sold companies             </v>
          </cell>
        </row>
        <row r="1000">
          <cell r="Q1000" t="str">
            <v>S1110222</v>
          </cell>
          <cell r="R1000" t="str">
            <v xml:space="preserve">Goodwill / Reklassifisering                       </v>
          </cell>
          <cell r="S1000" t="str">
            <v xml:space="preserve">Goodwill / Reclassifications                      </v>
          </cell>
        </row>
        <row r="1001">
          <cell r="Q1001" t="str">
            <v>S1110230</v>
          </cell>
          <cell r="R1001" t="str">
            <v xml:space="preserve">Goodwill / Årets avskrivning                      </v>
          </cell>
          <cell r="S1001" t="str">
            <v xml:space="preserve">Goodwill / Depriciation this year                 </v>
          </cell>
        </row>
        <row r="1002">
          <cell r="Q1002" t="str">
            <v>S1110240</v>
          </cell>
          <cell r="R1002" t="str">
            <v xml:space="preserve">Goodwill / Omregningsdifferanse                   </v>
          </cell>
          <cell r="S1002" t="str">
            <v xml:space="preserve">Goodwill / Translation difference                 </v>
          </cell>
        </row>
        <row r="1003">
          <cell r="Q1003" t="str">
            <v>S1110250</v>
          </cell>
          <cell r="R1003" t="str">
            <v xml:space="preserve">Goodwill / Avskrivninger 31.12                    </v>
          </cell>
          <cell r="S1003" t="str">
            <v xml:space="preserve">Goodwill / Depreciations 31.12                    </v>
          </cell>
        </row>
        <row r="1004">
          <cell r="Q1004" t="str">
            <v>S1110310</v>
          </cell>
          <cell r="R1004" t="str">
            <v xml:space="preserve">Goodwill / Salgssum                               </v>
          </cell>
          <cell r="S1004" t="str">
            <v xml:space="preserve">Goodwill / Proceeds from sale                     </v>
          </cell>
        </row>
        <row r="1005">
          <cell r="Q1005" t="str">
            <v>S1110320</v>
          </cell>
          <cell r="R1005" t="str">
            <v xml:space="preserve">Goodwill / Bokført verdi                          </v>
          </cell>
          <cell r="S1005" t="str">
            <v xml:space="preserve">Goodwill / Booked value                           </v>
          </cell>
        </row>
        <row r="1006">
          <cell r="Q1006" t="str">
            <v>S1110330</v>
          </cell>
          <cell r="R1006" t="str">
            <v xml:space="preserve">Goodwill / Gevinst / Tap                          </v>
          </cell>
          <cell r="S1006" t="str">
            <v xml:space="preserve">Goodwill / Gain / Loss                            </v>
          </cell>
        </row>
        <row r="1007">
          <cell r="Q1007" t="str">
            <v>S1110410</v>
          </cell>
          <cell r="R1007" t="str">
            <v xml:space="preserve">Goodwill / Akkumulerte nedskr 01.01               </v>
          </cell>
          <cell r="S1007" t="str">
            <v xml:space="preserve">Goodwill / Agg write downs 01.01                  </v>
          </cell>
        </row>
        <row r="1008">
          <cell r="Q1008" t="str">
            <v>S1110420</v>
          </cell>
          <cell r="R1008" t="str">
            <v xml:space="preserve">Goodwill / Akkumulerte nedskr salg                </v>
          </cell>
          <cell r="S1008" t="str">
            <v xml:space="preserve">Goodwill / Aggr write down sale                   </v>
          </cell>
        </row>
        <row r="1009">
          <cell r="Q1009" t="str">
            <v>S1110430</v>
          </cell>
          <cell r="R1009" t="str">
            <v xml:space="preserve">Goodwill / Nedskr salg av selskap                 </v>
          </cell>
          <cell r="S1009" t="str">
            <v xml:space="preserve">Goodwill / WD - sale  company                     </v>
          </cell>
        </row>
        <row r="1010">
          <cell r="Q1010" t="str">
            <v>S1110432</v>
          </cell>
          <cell r="R1010" t="str">
            <v xml:space="preserve">Goodwill / Nedskrivning reklassifisering          </v>
          </cell>
          <cell r="S1010" t="str">
            <v xml:space="preserve">Goodwill / WD reclassifications                   </v>
          </cell>
        </row>
        <row r="1011">
          <cell r="Q1011" t="str">
            <v>S1110440</v>
          </cell>
          <cell r="R1011" t="str">
            <v xml:space="preserve">Goodwill / Årets nedskrivning                     </v>
          </cell>
          <cell r="S1011" t="str">
            <v xml:space="preserve">Goodwill / This year WD                           </v>
          </cell>
        </row>
        <row r="1012">
          <cell r="Q1012" t="str">
            <v>S1110450</v>
          </cell>
          <cell r="R1012" t="str">
            <v xml:space="preserve">Goodwill / Reversering nedskrivning               </v>
          </cell>
          <cell r="S1012" t="str">
            <v xml:space="preserve">Goodwill / Reversed WD                            </v>
          </cell>
        </row>
        <row r="1013">
          <cell r="Q1013" t="str">
            <v>S1110455</v>
          </cell>
          <cell r="R1013" t="str">
            <v xml:space="preserve">Goodwill / Omregningsdifferanse                   </v>
          </cell>
          <cell r="S1013" t="str">
            <v xml:space="preserve">Goodwill / Translation difference                 </v>
          </cell>
        </row>
        <row r="1014">
          <cell r="Q1014" t="str">
            <v>S1110460</v>
          </cell>
          <cell r="R1014" t="str">
            <v xml:space="preserve">Goodwill / Nedskrivning 31.12                     </v>
          </cell>
          <cell r="S1014" t="str">
            <v xml:space="preserve">Goodwill / Write Downs 31.12                      </v>
          </cell>
        </row>
        <row r="1015">
          <cell r="Q1015" t="str">
            <v>S1110OBA</v>
          </cell>
          <cell r="R1015" t="str">
            <v xml:space="preserve">Goodwill / Akkumulert IB                          </v>
          </cell>
          <cell r="S1015" t="str">
            <v xml:space="preserve">Goodwill / Aggregated OB                          </v>
          </cell>
        </row>
        <row r="1016">
          <cell r="Q1016" t="str">
            <v>S1120</v>
          </cell>
          <cell r="R1016" t="str">
            <v xml:space="preserve">Immaterielle eiendeler                            </v>
          </cell>
          <cell r="S1016" t="str">
            <v xml:space="preserve">Intangeble assets                                 </v>
          </cell>
        </row>
        <row r="1017">
          <cell r="Q1017" t="str">
            <v>S1120010</v>
          </cell>
          <cell r="R1017" t="str">
            <v xml:space="preserve">Immaterielle / Avskrivning%                       </v>
          </cell>
          <cell r="S1017" t="str">
            <v xml:space="preserve">Intangeble / Depreciation%                        </v>
          </cell>
        </row>
        <row r="1018">
          <cell r="Q1018" t="str">
            <v>S1120110</v>
          </cell>
          <cell r="R1018" t="str">
            <v xml:space="preserve">Immaterielle / Nyanskaffelse                      </v>
          </cell>
          <cell r="S1018" t="str">
            <v xml:space="preserve">Intangeble / Provided this year                   </v>
          </cell>
        </row>
        <row r="1019">
          <cell r="Q1019" t="str">
            <v>S1120111</v>
          </cell>
          <cell r="R1019" t="str">
            <v xml:space="preserve">Immaterielle / Nyanskaffelse ved kjøp av selskap  </v>
          </cell>
          <cell r="S1019" t="str">
            <v xml:space="preserve">Intangeble / Provided purchase of company         </v>
          </cell>
        </row>
        <row r="1020">
          <cell r="Q1020" t="str">
            <v>S1120112</v>
          </cell>
          <cell r="R1020" t="str">
            <v xml:space="preserve">Immaterielle / Reklassifiseringer                 </v>
          </cell>
          <cell r="S1020" t="str">
            <v xml:space="preserve">Intangeble / Reclassification                     </v>
          </cell>
        </row>
        <row r="1021">
          <cell r="Q1021" t="str">
            <v>S1120120</v>
          </cell>
          <cell r="R1021" t="str">
            <v xml:space="preserve">Immaterielle / Avgang i år                        </v>
          </cell>
          <cell r="S1021" t="str">
            <v xml:space="preserve">Intangeble / Sold and scrapped this year          </v>
          </cell>
        </row>
        <row r="1022">
          <cell r="Q1022" t="str">
            <v>S1120121</v>
          </cell>
          <cell r="R1022" t="str">
            <v xml:space="preserve">Immaterielle / Avgang ved salg av selskap         </v>
          </cell>
          <cell r="S1022" t="str">
            <v xml:space="preserve">Intangeble / Sold company                         </v>
          </cell>
        </row>
        <row r="1023">
          <cell r="Q1023" t="str">
            <v>S1120129</v>
          </cell>
          <cell r="R1023" t="str">
            <v xml:space="preserve">Immaterielle / Omregningsdifferanser              </v>
          </cell>
          <cell r="S1023" t="str">
            <v xml:space="preserve">Intangeble / Translation differences              </v>
          </cell>
        </row>
        <row r="1024">
          <cell r="Q1024" t="str">
            <v>S1120130</v>
          </cell>
          <cell r="R1024" t="str">
            <v xml:space="preserve">Immaterielle / Anskaffelsesverdi 31.12            </v>
          </cell>
          <cell r="S1024" t="str">
            <v xml:space="preserve">Intangeble / Purchase value 31.12                 </v>
          </cell>
        </row>
        <row r="1025">
          <cell r="Q1025" t="str">
            <v>S1120210</v>
          </cell>
          <cell r="R1025" t="str">
            <v xml:space="preserve">Immaterielle / Akkumulerte avskrivninger 1.1      </v>
          </cell>
          <cell r="S1025" t="str">
            <v xml:space="preserve">Intangeble / Aggregated depreciations 1.1         </v>
          </cell>
        </row>
        <row r="1026">
          <cell r="Q1026" t="str">
            <v>S1120220</v>
          </cell>
          <cell r="R1026" t="str">
            <v xml:space="preserve">Immaterielle / Akk. avskrivninger solgte driftsm  </v>
          </cell>
          <cell r="S1026" t="str">
            <v xml:space="preserve">Intangeble / Agg depr. sold asset                 </v>
          </cell>
        </row>
        <row r="1027">
          <cell r="Q1027" t="str">
            <v>S1120221</v>
          </cell>
          <cell r="R1027" t="str">
            <v xml:space="preserve">Immaterielle / Akk avskrivninger solgt virksh     </v>
          </cell>
          <cell r="S1027" t="str">
            <v xml:space="preserve">Intangeble / Agg depr sold company                </v>
          </cell>
        </row>
        <row r="1028">
          <cell r="Q1028" t="str">
            <v>S1120222</v>
          </cell>
          <cell r="R1028" t="str">
            <v xml:space="preserve">Immaterielle / Reklassifisering                   </v>
          </cell>
          <cell r="S1028" t="str">
            <v xml:space="preserve">Intangeble / Reclassifications                    </v>
          </cell>
        </row>
        <row r="1029">
          <cell r="Q1029" t="str">
            <v>S1120230</v>
          </cell>
          <cell r="R1029" t="str">
            <v xml:space="preserve">Immaterielle / Årets avskrivning                  </v>
          </cell>
          <cell r="S1029" t="str">
            <v xml:space="preserve">Intangeble / This year depreciation               </v>
          </cell>
        </row>
        <row r="1030">
          <cell r="Q1030" t="str">
            <v>S1120240</v>
          </cell>
          <cell r="R1030" t="str">
            <v xml:space="preserve">Immaterielle / Omregningsdifferanser              </v>
          </cell>
          <cell r="S1030" t="str">
            <v xml:space="preserve">Intangeble / Translation differences              </v>
          </cell>
        </row>
        <row r="1031">
          <cell r="Q1031" t="str">
            <v>S1120250</v>
          </cell>
          <cell r="R1031" t="str">
            <v xml:space="preserve">Immaterielle / Avskrivninger 31.12                </v>
          </cell>
          <cell r="S1031" t="str">
            <v xml:space="preserve">Intangeble / Depreciation 31.12                   </v>
          </cell>
        </row>
        <row r="1032">
          <cell r="Q1032" t="str">
            <v>S1120310</v>
          </cell>
          <cell r="R1032" t="str">
            <v xml:space="preserve">Immaterielle / Salgssum                           </v>
          </cell>
          <cell r="S1032" t="str">
            <v xml:space="preserve">Intangeble / Sales value                          </v>
          </cell>
        </row>
        <row r="1033">
          <cell r="Q1033" t="str">
            <v>S1120320</v>
          </cell>
          <cell r="R1033" t="str">
            <v xml:space="preserve">Immaterielle / Bokført verdi                      </v>
          </cell>
          <cell r="S1033" t="str">
            <v xml:space="preserve">Intangeble / Booked value                         </v>
          </cell>
        </row>
        <row r="1034">
          <cell r="Q1034" t="str">
            <v>S1120330</v>
          </cell>
          <cell r="R1034" t="str">
            <v xml:space="preserve">Immaterielle / Gevinst / tap                      </v>
          </cell>
          <cell r="S1034" t="str">
            <v xml:space="preserve">Intangeble / Gain / loss                          </v>
          </cell>
        </row>
        <row r="1035">
          <cell r="Q1035" t="str">
            <v>S1120410</v>
          </cell>
          <cell r="R1035" t="str">
            <v xml:space="preserve">Immaterielle / Akk nedskr 01.01                   </v>
          </cell>
          <cell r="S1035" t="str">
            <v xml:space="preserve">Intangeble / Agg WD 01.01                         </v>
          </cell>
        </row>
        <row r="1036">
          <cell r="Q1036" t="str">
            <v>S1120420</v>
          </cell>
          <cell r="R1036" t="str">
            <v xml:space="preserve">Immaterielle / Akk nedskr - salg                  </v>
          </cell>
          <cell r="S1036" t="str">
            <v xml:space="preserve">Intangeble / Agg WD - sale                        </v>
          </cell>
        </row>
        <row r="1037">
          <cell r="Q1037" t="str">
            <v>S1120430</v>
          </cell>
          <cell r="R1037" t="str">
            <v xml:space="preserve">Immaterielle / Akk nedskr salg av virksomhet      </v>
          </cell>
          <cell r="S1037" t="str">
            <v xml:space="preserve">Intangeble / Agg WD sale company                  </v>
          </cell>
        </row>
        <row r="1038">
          <cell r="Q1038" t="str">
            <v>S1120432</v>
          </cell>
          <cell r="R1038" t="str">
            <v xml:space="preserve">Immaterielle / Nedskrivning reklassifisering      </v>
          </cell>
          <cell r="S1038" t="str">
            <v xml:space="preserve">Intangeble / WD reclassifications                 </v>
          </cell>
        </row>
        <row r="1039">
          <cell r="Q1039" t="str">
            <v>S1120440</v>
          </cell>
          <cell r="R1039" t="str">
            <v xml:space="preserve">Immaterielle / Årets nedskrivning                 </v>
          </cell>
          <cell r="S1039" t="str">
            <v xml:space="preserve">Intangeble / This year WD                         </v>
          </cell>
        </row>
        <row r="1040">
          <cell r="Q1040" t="str">
            <v>S1120450</v>
          </cell>
          <cell r="R1040" t="str">
            <v xml:space="preserve">Immaterielle / Reversering nedskrivning           </v>
          </cell>
          <cell r="S1040" t="str">
            <v xml:space="preserve">Intangeble / Reversed WD                          </v>
          </cell>
        </row>
        <row r="1041">
          <cell r="Q1041" t="str">
            <v>S1120455</v>
          </cell>
          <cell r="R1041" t="str">
            <v xml:space="preserve">Immaterielle / Omregningsdifferanser              </v>
          </cell>
          <cell r="S1041" t="str">
            <v xml:space="preserve">Intangeble / Translation differences              </v>
          </cell>
        </row>
        <row r="1042">
          <cell r="Q1042" t="str">
            <v>S1120460</v>
          </cell>
          <cell r="R1042" t="str">
            <v xml:space="preserve">Immaterielle / Nedskrivning 31.12                 </v>
          </cell>
          <cell r="S1042" t="str">
            <v xml:space="preserve">Intangeble / Write Downs 31.12                    </v>
          </cell>
        </row>
        <row r="1043">
          <cell r="Q1043" t="str">
            <v>S1120OBA</v>
          </cell>
          <cell r="R1043" t="str">
            <v xml:space="preserve">Immaterielle / IB                                 </v>
          </cell>
          <cell r="S1043" t="str">
            <v xml:space="preserve">Intangeble / OBB                                  </v>
          </cell>
        </row>
        <row r="1044">
          <cell r="Q1044" t="str">
            <v>S1200</v>
          </cell>
          <cell r="R1044" t="str">
            <v xml:space="preserve">Bygninger og tomter                               </v>
          </cell>
          <cell r="S1044" t="str">
            <v xml:space="preserve">Buildings and land                                </v>
          </cell>
        </row>
        <row r="1045">
          <cell r="Q1045" t="str">
            <v>S1200010</v>
          </cell>
          <cell r="R1045" t="str">
            <v xml:space="preserve">Bygninger / Avskrivning%                          </v>
          </cell>
          <cell r="S1045" t="str">
            <v xml:space="preserve">Buildings / Depreciation%                         </v>
          </cell>
        </row>
        <row r="1046">
          <cell r="Q1046" t="str">
            <v>S1200110</v>
          </cell>
          <cell r="R1046" t="str">
            <v xml:space="preserve">Bygninger / Nyanskaffelse                         </v>
          </cell>
          <cell r="S1046" t="str">
            <v xml:space="preserve">Buildings / Provided this year                    </v>
          </cell>
        </row>
        <row r="1047">
          <cell r="Q1047" t="str">
            <v>S1200111</v>
          </cell>
          <cell r="R1047" t="str">
            <v xml:space="preserve">Bygninger / Nyanskaffelse ved kjøp av virksomhet  </v>
          </cell>
          <cell r="S1047" t="str">
            <v xml:space="preserve">Buildings / Provided purchase company             </v>
          </cell>
        </row>
        <row r="1048">
          <cell r="Q1048" t="str">
            <v>S1200112</v>
          </cell>
          <cell r="R1048" t="str">
            <v xml:space="preserve">Bygninger / Reklassifisering                      </v>
          </cell>
          <cell r="S1048" t="str">
            <v xml:space="preserve">Buildings / Reclassification                      </v>
          </cell>
        </row>
        <row r="1049">
          <cell r="Q1049" t="str">
            <v>S1200120</v>
          </cell>
          <cell r="R1049" t="str">
            <v xml:space="preserve">Bygninger / Avgang i år                           </v>
          </cell>
          <cell r="S1049" t="str">
            <v xml:space="preserve">Buildings / Sale this year                        </v>
          </cell>
        </row>
        <row r="1050">
          <cell r="Q1050" t="str">
            <v>S1200121</v>
          </cell>
          <cell r="R1050" t="str">
            <v xml:space="preserve">Bygninger / Avgang ved salg av virksomhet         </v>
          </cell>
          <cell r="S1050" t="str">
            <v xml:space="preserve">Buildings / Scrapped by sale company              </v>
          </cell>
        </row>
        <row r="1051">
          <cell r="Q1051" t="str">
            <v>S1200129</v>
          </cell>
          <cell r="R1051" t="str">
            <v xml:space="preserve">Bygninger / Omregningsdifferanser                 </v>
          </cell>
          <cell r="S1051" t="str">
            <v xml:space="preserve">Buildings / Translation differences               </v>
          </cell>
        </row>
        <row r="1052">
          <cell r="Q1052" t="str">
            <v>S1200130</v>
          </cell>
          <cell r="R1052" t="str">
            <v xml:space="preserve">Bygninger / Anskaffelses kost 31.12               </v>
          </cell>
          <cell r="S1052" t="str">
            <v xml:space="preserve">Buildings / Purchase valuer 31.12                 </v>
          </cell>
        </row>
        <row r="1053">
          <cell r="Q1053" t="str">
            <v>S1200210</v>
          </cell>
          <cell r="R1053" t="str">
            <v xml:space="preserve">Bygninger / Akkumulerte avskrivninger 1.1         </v>
          </cell>
          <cell r="S1053" t="str">
            <v xml:space="preserve">Buildings / Agg depreciation 1.1                  </v>
          </cell>
        </row>
        <row r="1054">
          <cell r="Q1054" t="str">
            <v>S1200220</v>
          </cell>
          <cell r="R1054" t="str">
            <v xml:space="preserve">Bygninger / Akk avskrivninger salg driftsm        </v>
          </cell>
          <cell r="S1054" t="str">
            <v xml:space="preserve">Buildings / Agg depr sold assets                  </v>
          </cell>
        </row>
        <row r="1055">
          <cell r="Q1055" t="str">
            <v>S1200221</v>
          </cell>
          <cell r="R1055" t="str">
            <v xml:space="preserve">Bygninger / Akk avskrivninger ved salg virksomhet </v>
          </cell>
          <cell r="S1055" t="str">
            <v xml:space="preserve">Buildings / Agg depr sale company                 </v>
          </cell>
        </row>
        <row r="1056">
          <cell r="Q1056" t="str">
            <v>S1200222</v>
          </cell>
          <cell r="R1056" t="str">
            <v xml:space="preserve">Bygninger / Reklassifisering                      </v>
          </cell>
          <cell r="S1056" t="str">
            <v xml:space="preserve">Buildings / Reclassifications                     </v>
          </cell>
        </row>
        <row r="1057">
          <cell r="Q1057" t="str">
            <v>S1200230</v>
          </cell>
          <cell r="R1057" t="str">
            <v xml:space="preserve">Bygninger / Årets avskrivninger                   </v>
          </cell>
          <cell r="S1057" t="str">
            <v xml:space="preserve">Buildings / This year depreciation                </v>
          </cell>
        </row>
        <row r="1058">
          <cell r="Q1058" t="str">
            <v>S1200240</v>
          </cell>
          <cell r="R1058" t="str">
            <v xml:space="preserve">Bygninger / Omregningsdifferanser                 </v>
          </cell>
          <cell r="S1058" t="str">
            <v xml:space="preserve">Buildings / Currency differences                  </v>
          </cell>
        </row>
        <row r="1059">
          <cell r="Q1059" t="str">
            <v>S1200250</v>
          </cell>
          <cell r="R1059" t="str">
            <v xml:space="preserve">Bygninger / Avskrivninger 31.12                   </v>
          </cell>
          <cell r="S1059" t="str">
            <v xml:space="preserve">Buildings / Depreciation 31.12                    </v>
          </cell>
        </row>
        <row r="1060">
          <cell r="Q1060" t="str">
            <v>S1200310</v>
          </cell>
          <cell r="R1060" t="str">
            <v xml:space="preserve">Bygninger / Salgssum                              </v>
          </cell>
          <cell r="S1060" t="str">
            <v xml:space="preserve">Buildings / Sales value                           </v>
          </cell>
        </row>
        <row r="1061">
          <cell r="Q1061" t="str">
            <v>S1200320</v>
          </cell>
          <cell r="R1061" t="str">
            <v xml:space="preserve">Bygninger / Bokført verdi                         </v>
          </cell>
          <cell r="S1061" t="str">
            <v xml:space="preserve">Buildings / Booked value                          </v>
          </cell>
        </row>
        <row r="1062">
          <cell r="Q1062" t="str">
            <v>S1200330</v>
          </cell>
          <cell r="R1062" t="str">
            <v xml:space="preserve">Bygninger / Gevinst / Tap                         </v>
          </cell>
          <cell r="S1062" t="str">
            <v xml:space="preserve">Buildings / Gain / Losses                         </v>
          </cell>
        </row>
        <row r="1063">
          <cell r="Q1063" t="str">
            <v>S1200410</v>
          </cell>
          <cell r="R1063" t="str">
            <v xml:space="preserve">Bygninger / Akk nedskr 01.01                      </v>
          </cell>
          <cell r="S1063" t="str">
            <v xml:space="preserve">Buildings / Akk WD 01.01                          </v>
          </cell>
        </row>
        <row r="1064">
          <cell r="Q1064" t="str">
            <v>S1200420</v>
          </cell>
          <cell r="R1064" t="str">
            <v xml:space="preserve">Bygninger / Akk nedskrivning salg                 </v>
          </cell>
          <cell r="S1064" t="str">
            <v xml:space="preserve">Buildings / Agg WD sale                           </v>
          </cell>
        </row>
        <row r="1065">
          <cell r="Q1065" t="str">
            <v>S1200430</v>
          </cell>
          <cell r="R1065" t="str">
            <v xml:space="preserve">Bygninger / Akk nedskr salg av virksomhet         </v>
          </cell>
          <cell r="S1065" t="str">
            <v xml:space="preserve">Buildings / Agg WD sale of company                </v>
          </cell>
        </row>
        <row r="1066">
          <cell r="Q1066" t="str">
            <v>S1200432</v>
          </cell>
          <cell r="R1066" t="str">
            <v xml:space="preserve">Bygninger / Nedskrivning reklassifisering         </v>
          </cell>
          <cell r="S1066" t="str">
            <v xml:space="preserve">Buildings / WD reclassifications                  </v>
          </cell>
        </row>
        <row r="1067">
          <cell r="Q1067" t="str">
            <v>S1200440</v>
          </cell>
          <cell r="R1067" t="str">
            <v xml:space="preserve">Bygninger / Årets nedskrivning                    </v>
          </cell>
          <cell r="S1067" t="str">
            <v xml:space="preserve">Buildings / This year WD                          </v>
          </cell>
        </row>
        <row r="1068">
          <cell r="Q1068" t="str">
            <v>S1200450</v>
          </cell>
          <cell r="R1068" t="str">
            <v xml:space="preserve">Bygninger / Reversering nedskrivning              </v>
          </cell>
          <cell r="S1068" t="str">
            <v xml:space="preserve">Buildings / Reversed WD                           </v>
          </cell>
        </row>
        <row r="1069">
          <cell r="Q1069" t="str">
            <v>S1200455</v>
          </cell>
          <cell r="R1069" t="str">
            <v xml:space="preserve">Bygninger / Omregningsdifferanser                 </v>
          </cell>
          <cell r="S1069" t="str">
            <v xml:space="preserve">Buildings / Translation differences               </v>
          </cell>
        </row>
        <row r="1070">
          <cell r="Q1070" t="str">
            <v>S1200460</v>
          </cell>
          <cell r="R1070" t="str">
            <v xml:space="preserve">Bygninger / Nedskrivninger 31.12                  </v>
          </cell>
          <cell r="S1070" t="str">
            <v xml:space="preserve">Buildings / Write Downs 31.12                     </v>
          </cell>
        </row>
        <row r="1071">
          <cell r="Q1071" t="str">
            <v>S1200OBA</v>
          </cell>
          <cell r="R1071" t="str">
            <v xml:space="preserve">Bygninger / IB                                    </v>
          </cell>
          <cell r="S1071" t="str">
            <v xml:space="preserve">Buildings / OBB                                   </v>
          </cell>
        </row>
        <row r="1072">
          <cell r="Q1072" t="str">
            <v>S1210</v>
          </cell>
          <cell r="R1072" t="str">
            <v xml:space="preserve">Anlegg under  utførelse                           </v>
          </cell>
          <cell r="S1072" t="str">
            <v xml:space="preserve">Construction in progress                          </v>
          </cell>
        </row>
        <row r="1073">
          <cell r="Q1073" t="str">
            <v>S1210010</v>
          </cell>
          <cell r="R1073" t="str">
            <v xml:space="preserve">Anlegg / Avskrivning%                             </v>
          </cell>
          <cell r="S1073" t="str">
            <v xml:space="preserve">Construction / Depreciation %                     </v>
          </cell>
        </row>
        <row r="1074">
          <cell r="Q1074" t="str">
            <v>S1210110</v>
          </cell>
          <cell r="R1074" t="str">
            <v xml:space="preserve">Anlegg / Nyanskaffelse                            </v>
          </cell>
          <cell r="S1074" t="str">
            <v xml:space="preserve">Construction / Purchase                           </v>
          </cell>
        </row>
        <row r="1075">
          <cell r="Q1075" t="str">
            <v>S1210111</v>
          </cell>
          <cell r="R1075" t="str">
            <v xml:space="preserve">Anlegg / Nyanskaffelse ved kjøp av virksomhet     </v>
          </cell>
          <cell r="S1075" t="str">
            <v xml:space="preserve">Construction / Purchase acq company               </v>
          </cell>
        </row>
        <row r="1076">
          <cell r="Q1076" t="str">
            <v>S1210112</v>
          </cell>
          <cell r="R1076" t="str">
            <v xml:space="preserve">Anlegg / Reklassifisering                         </v>
          </cell>
          <cell r="S1076" t="str">
            <v xml:space="preserve">Construction / Reclassification                   </v>
          </cell>
        </row>
        <row r="1077">
          <cell r="Q1077" t="str">
            <v>S1210120</v>
          </cell>
          <cell r="R1077" t="str">
            <v xml:space="preserve">Anlegg / Årets avgang                             </v>
          </cell>
          <cell r="S1077" t="str">
            <v xml:space="preserve">Construction / Scrapped this year                 </v>
          </cell>
        </row>
        <row r="1078">
          <cell r="Q1078" t="str">
            <v>S1210121</v>
          </cell>
          <cell r="R1078" t="str">
            <v xml:space="preserve">Anlegg / Avgang ved salg av virksomhet            </v>
          </cell>
          <cell r="S1078" t="str">
            <v xml:space="preserve">Construction / Srapped sale of company            </v>
          </cell>
        </row>
        <row r="1079">
          <cell r="Q1079" t="str">
            <v>S1210129</v>
          </cell>
          <cell r="R1079" t="str">
            <v xml:space="preserve">Anlegg / Omregningsdifferanser                    </v>
          </cell>
          <cell r="S1079" t="str">
            <v xml:space="preserve">Construction / Translation differences            </v>
          </cell>
        </row>
        <row r="1080">
          <cell r="Q1080" t="str">
            <v>S1210130</v>
          </cell>
          <cell r="R1080" t="str">
            <v xml:space="preserve">Anlegg / Anskaffelses verdi 31.12                 </v>
          </cell>
          <cell r="S1080" t="str">
            <v xml:space="preserve">Construction / Purchase value 31.12               </v>
          </cell>
        </row>
        <row r="1081">
          <cell r="Q1081" t="str">
            <v>S1210210</v>
          </cell>
          <cell r="R1081" t="str">
            <v xml:space="preserve">Anlegg / Akkumulerte avskrivninger 1.1            </v>
          </cell>
          <cell r="S1081" t="str">
            <v xml:space="preserve">Construction / Agg depreciation 1.1               </v>
          </cell>
        </row>
        <row r="1082">
          <cell r="Q1082" t="str">
            <v>S1210220</v>
          </cell>
          <cell r="R1082" t="str">
            <v xml:space="preserve">Anlegg / Akkumulerte avskrivninger solgte driftsm </v>
          </cell>
          <cell r="S1082" t="str">
            <v xml:space="preserve">Construction / Agg depreciation sold assets       </v>
          </cell>
        </row>
        <row r="1083">
          <cell r="Q1083" t="str">
            <v>S1210221</v>
          </cell>
          <cell r="R1083" t="str">
            <v>Anlegg / Akkumulerte avskrivninger salg virksomhet</v>
          </cell>
          <cell r="S1083" t="str">
            <v xml:space="preserve">Construction / Agg depr sold companies            </v>
          </cell>
        </row>
        <row r="1084">
          <cell r="Q1084" t="str">
            <v>S1210222</v>
          </cell>
          <cell r="R1084" t="str">
            <v xml:space="preserve">Anlegg / Reklassifisering                         </v>
          </cell>
          <cell r="S1084" t="str">
            <v xml:space="preserve">Construction / Reclassifications                  </v>
          </cell>
        </row>
        <row r="1085">
          <cell r="Q1085" t="str">
            <v>S1210230</v>
          </cell>
          <cell r="R1085" t="str">
            <v xml:space="preserve">Anlegg / Årets avskrivning                        </v>
          </cell>
          <cell r="S1085" t="str">
            <v xml:space="preserve">Construction / This year depreciation             </v>
          </cell>
        </row>
        <row r="1086">
          <cell r="Q1086" t="str">
            <v>S1210240</v>
          </cell>
          <cell r="R1086" t="str">
            <v xml:space="preserve">Anlegg / Omregningsdifferanser                    </v>
          </cell>
          <cell r="S1086" t="str">
            <v xml:space="preserve">Construction / Translation differences            </v>
          </cell>
        </row>
        <row r="1087">
          <cell r="Q1087" t="str">
            <v>S1210250</v>
          </cell>
          <cell r="R1087" t="str">
            <v xml:space="preserve">Anlegg / Avskrivninger 31.12                      </v>
          </cell>
          <cell r="S1087" t="str">
            <v xml:space="preserve">Construction / Depreciation 31.12                 </v>
          </cell>
        </row>
        <row r="1088">
          <cell r="Q1088" t="str">
            <v>S1210310</v>
          </cell>
          <cell r="R1088" t="str">
            <v xml:space="preserve">Anlegg / Salgssum                                 </v>
          </cell>
          <cell r="S1088" t="str">
            <v xml:space="preserve">Construction / Sales value                        </v>
          </cell>
        </row>
        <row r="1089">
          <cell r="Q1089" t="str">
            <v>S1210320</v>
          </cell>
          <cell r="R1089" t="str">
            <v xml:space="preserve">Anlegg / Bokført verdi                            </v>
          </cell>
          <cell r="S1089" t="str">
            <v xml:space="preserve">Construction / Booked value                       </v>
          </cell>
        </row>
        <row r="1090">
          <cell r="Q1090" t="str">
            <v>S1210330</v>
          </cell>
          <cell r="R1090" t="str">
            <v xml:space="preserve">Anlegg / Gevinst / Tap                            </v>
          </cell>
          <cell r="S1090" t="str">
            <v xml:space="preserve">Construction / Gain / Loss                        </v>
          </cell>
        </row>
        <row r="1091">
          <cell r="Q1091" t="str">
            <v>S1210410</v>
          </cell>
          <cell r="R1091" t="str">
            <v xml:space="preserve">Anlegg / Akk nedskr 01.01                         </v>
          </cell>
          <cell r="S1091" t="str">
            <v xml:space="preserve">Construction / Akk WD 01.01                       </v>
          </cell>
        </row>
        <row r="1092">
          <cell r="Q1092" t="str">
            <v>S1210420</v>
          </cell>
          <cell r="R1092" t="str">
            <v xml:space="preserve">Anlegg / Akkumulerte nedskrivning salg            </v>
          </cell>
          <cell r="S1092" t="str">
            <v xml:space="preserve">Construction / Agg write downs sale               </v>
          </cell>
        </row>
        <row r="1093">
          <cell r="Q1093" t="str">
            <v>S1210430</v>
          </cell>
          <cell r="R1093" t="str">
            <v xml:space="preserve">Anlegg / Akk nedskrivning salg selskap            </v>
          </cell>
          <cell r="S1093" t="str">
            <v xml:space="preserve">Construction / Agg write downs sale company       </v>
          </cell>
        </row>
        <row r="1094">
          <cell r="Q1094" t="str">
            <v>S1210432</v>
          </cell>
          <cell r="R1094" t="str">
            <v xml:space="preserve">Anlegg / Reklassifisering                         </v>
          </cell>
          <cell r="S1094" t="str">
            <v xml:space="preserve">Construction / Reclassifications                  </v>
          </cell>
        </row>
        <row r="1095">
          <cell r="Q1095" t="str">
            <v>S1210440</v>
          </cell>
          <cell r="R1095" t="str">
            <v xml:space="preserve">Anlegg / Årets nedskrivning                       </v>
          </cell>
          <cell r="S1095" t="str">
            <v xml:space="preserve">Construction / This year WD                       </v>
          </cell>
        </row>
        <row r="1096">
          <cell r="Q1096" t="str">
            <v>S1210450</v>
          </cell>
          <cell r="R1096" t="str">
            <v xml:space="preserve">Anlegg / Rev nedskrivning                         </v>
          </cell>
          <cell r="S1096" t="str">
            <v xml:space="preserve">Construction / Reversed WD                        </v>
          </cell>
        </row>
        <row r="1097">
          <cell r="Q1097" t="str">
            <v>S1210455</v>
          </cell>
          <cell r="R1097" t="str">
            <v xml:space="preserve">Anlegg / Omregningsdifferanser                    </v>
          </cell>
          <cell r="S1097" t="str">
            <v xml:space="preserve">Construction / Translation differences            </v>
          </cell>
        </row>
        <row r="1098">
          <cell r="Q1098" t="str">
            <v>S1210460</v>
          </cell>
          <cell r="R1098" t="str">
            <v xml:space="preserve">Anlegg / Nedskrivning 31.12                       </v>
          </cell>
          <cell r="S1098" t="str">
            <v xml:space="preserve">Construction / Write Downs 31.12                  </v>
          </cell>
        </row>
        <row r="1099">
          <cell r="Q1099" t="str">
            <v>S1210OBA</v>
          </cell>
          <cell r="R1099" t="str">
            <v xml:space="preserve">Anlegg / IB                                       </v>
          </cell>
          <cell r="S1099" t="str">
            <v xml:space="preserve">Construction / OBB                                </v>
          </cell>
        </row>
        <row r="1100">
          <cell r="Q1100" t="str">
            <v>S1220</v>
          </cell>
          <cell r="R1100" t="str">
            <v xml:space="preserve">Maskiner                                          </v>
          </cell>
          <cell r="S1100" t="str">
            <v xml:space="preserve">Machinery                                         </v>
          </cell>
        </row>
        <row r="1101">
          <cell r="Q1101" t="str">
            <v>S1220010</v>
          </cell>
          <cell r="R1101" t="str">
            <v xml:space="preserve">Maskiner / Avskrivning %                          </v>
          </cell>
          <cell r="S1101" t="str">
            <v xml:space="preserve">Machinery / Depreciation %                        </v>
          </cell>
        </row>
        <row r="1102">
          <cell r="Q1102" t="str">
            <v>S1220110</v>
          </cell>
          <cell r="R1102" t="str">
            <v xml:space="preserve">Maskiner / Nyanskaffelser                         </v>
          </cell>
          <cell r="S1102" t="str">
            <v xml:space="preserve">Machinery / Purchase                              </v>
          </cell>
        </row>
        <row r="1103">
          <cell r="Q1103" t="str">
            <v>S1220111</v>
          </cell>
          <cell r="R1103" t="str">
            <v xml:space="preserve">Maskiner / Nyanskaffelser ved kjøp av selskap     </v>
          </cell>
          <cell r="S1103" t="str">
            <v xml:space="preserve">Machinery / Purchase acq companies                </v>
          </cell>
        </row>
        <row r="1104">
          <cell r="Q1104" t="str">
            <v>S1220112</v>
          </cell>
          <cell r="R1104" t="str">
            <v xml:space="preserve">Maskiner / Reklassifiseringer                     </v>
          </cell>
          <cell r="S1104" t="str">
            <v xml:space="preserve">Machinery / Reclassifications                     </v>
          </cell>
        </row>
        <row r="1105">
          <cell r="Q1105" t="str">
            <v>S1220120</v>
          </cell>
          <cell r="R1105" t="str">
            <v xml:space="preserve">Maskiner / Avgang i år                            </v>
          </cell>
          <cell r="S1105" t="str">
            <v xml:space="preserve">Machinery / Sale this year                        </v>
          </cell>
        </row>
        <row r="1106">
          <cell r="Q1106" t="str">
            <v>S1220121</v>
          </cell>
          <cell r="R1106" t="str">
            <v xml:space="preserve">Maskiner / Avgang ved salg av virksomhet          </v>
          </cell>
          <cell r="S1106" t="str">
            <v xml:space="preserve">Machinery / Sale of company                       </v>
          </cell>
        </row>
        <row r="1107">
          <cell r="Q1107" t="str">
            <v>S1220129</v>
          </cell>
          <cell r="R1107" t="str">
            <v xml:space="preserve">Maskiner / Omregningsdifferanser                  </v>
          </cell>
          <cell r="S1107" t="str">
            <v xml:space="preserve">Machinery / Translation differences               </v>
          </cell>
        </row>
        <row r="1108">
          <cell r="Q1108" t="str">
            <v>S1220130</v>
          </cell>
          <cell r="R1108" t="str">
            <v xml:space="preserve">Maskiner / Anskaffelses verdi 31.12               </v>
          </cell>
          <cell r="S1108" t="str">
            <v xml:space="preserve">Machinery / Purchase value 31.12                  </v>
          </cell>
        </row>
        <row r="1109">
          <cell r="Q1109" t="str">
            <v>S1220210</v>
          </cell>
          <cell r="R1109" t="str">
            <v xml:space="preserve">Maskiner / Akkumulerte avskrivninger 1.1          </v>
          </cell>
          <cell r="S1109" t="str">
            <v xml:space="preserve">Machinery / Agg depreciation 1.1                  </v>
          </cell>
        </row>
        <row r="1110">
          <cell r="Q1110" t="str">
            <v>S1220220</v>
          </cell>
          <cell r="R1110" t="str">
            <v xml:space="preserve">Maskiner / Akk avskrivninger solgte driftsmidler  </v>
          </cell>
          <cell r="S1110" t="str">
            <v xml:space="preserve">Machinery / Agg depr sold assets                  </v>
          </cell>
        </row>
        <row r="1111">
          <cell r="Q1111" t="str">
            <v>S1220221</v>
          </cell>
          <cell r="R1111" t="str">
            <v xml:space="preserve">Maskiner / Akk avskr salg av virksomhet           </v>
          </cell>
          <cell r="S1111" t="str">
            <v xml:space="preserve">Machinery / Agg depr sale companies               </v>
          </cell>
        </row>
        <row r="1112">
          <cell r="Q1112" t="str">
            <v>S1220222</v>
          </cell>
          <cell r="R1112" t="str">
            <v xml:space="preserve">Maskiner / Reklassifisering                       </v>
          </cell>
          <cell r="S1112" t="str">
            <v xml:space="preserve">Machinery / Reclassifications                     </v>
          </cell>
        </row>
        <row r="1113">
          <cell r="Q1113" t="str">
            <v>S1220230</v>
          </cell>
          <cell r="R1113" t="str">
            <v xml:space="preserve">Maskiner / Årets avskrivning                      </v>
          </cell>
          <cell r="S1113" t="str">
            <v xml:space="preserve">Machinery / Depreciation this year                </v>
          </cell>
        </row>
        <row r="1114">
          <cell r="Q1114" t="str">
            <v>S1220240</v>
          </cell>
          <cell r="R1114" t="str">
            <v xml:space="preserve">Maskiner / Omregningsdifferanser                  </v>
          </cell>
          <cell r="S1114" t="str">
            <v xml:space="preserve">Machinery / Translation differences               </v>
          </cell>
        </row>
        <row r="1115">
          <cell r="Q1115" t="str">
            <v>S1220250</v>
          </cell>
          <cell r="R1115" t="str">
            <v xml:space="preserve">Maskiner / Avskrivning 31.12                      </v>
          </cell>
          <cell r="S1115" t="str">
            <v xml:space="preserve">Machinery / Depreciation 31.12                    </v>
          </cell>
        </row>
        <row r="1116">
          <cell r="Q1116" t="str">
            <v>S1220310</v>
          </cell>
          <cell r="R1116" t="str">
            <v xml:space="preserve">Maskiner / Salgssum                               </v>
          </cell>
          <cell r="S1116" t="str">
            <v xml:space="preserve">Machinery / Sales value                           </v>
          </cell>
        </row>
        <row r="1117">
          <cell r="Q1117" t="str">
            <v>S1220320</v>
          </cell>
          <cell r="R1117" t="str">
            <v xml:space="preserve">Maskiner / Bokført verdi                          </v>
          </cell>
          <cell r="S1117" t="str">
            <v xml:space="preserve">Machinery / Booked value                          </v>
          </cell>
        </row>
        <row r="1118">
          <cell r="Q1118" t="str">
            <v>S1220330</v>
          </cell>
          <cell r="R1118" t="str">
            <v xml:space="preserve">Maskiner / Gevinst / Tap                          </v>
          </cell>
          <cell r="S1118" t="str">
            <v xml:space="preserve">Machinery / Gain / Losses                         </v>
          </cell>
        </row>
        <row r="1119">
          <cell r="Q1119" t="str">
            <v>S1220410</v>
          </cell>
          <cell r="R1119" t="str">
            <v xml:space="preserve">Maskiner / Akk nedskr 01.01                       </v>
          </cell>
          <cell r="S1119" t="str">
            <v xml:space="preserve">Machinery / Akk WD 01.01                          </v>
          </cell>
        </row>
        <row r="1120">
          <cell r="Q1120" t="str">
            <v>S1220420</v>
          </cell>
          <cell r="R1120" t="str">
            <v xml:space="preserve">Maskiner / Akkumulerte nedskrivninger salg        </v>
          </cell>
          <cell r="S1120" t="str">
            <v xml:space="preserve">Machinery / Agg write downs sale                  </v>
          </cell>
        </row>
        <row r="1121">
          <cell r="Q1121" t="str">
            <v>S1220430</v>
          </cell>
          <cell r="R1121" t="str">
            <v xml:space="preserve">Maskiner / Akk nedskr salg av selskap             </v>
          </cell>
          <cell r="S1121" t="str">
            <v xml:space="preserve">Machinery / Agg WD sale company                   </v>
          </cell>
        </row>
        <row r="1122">
          <cell r="Q1122" t="str">
            <v>S1220432</v>
          </cell>
          <cell r="R1122" t="str">
            <v xml:space="preserve">Maskiner / Reklassifisering                       </v>
          </cell>
          <cell r="S1122" t="str">
            <v xml:space="preserve">Machinery / Reclassifications                     </v>
          </cell>
        </row>
        <row r="1123">
          <cell r="Q1123" t="str">
            <v>S1220440</v>
          </cell>
          <cell r="R1123" t="str">
            <v xml:space="preserve">Maskiner / Årets nedskrivninger                   </v>
          </cell>
          <cell r="S1123" t="str">
            <v xml:space="preserve">Machinery / This year WD                          </v>
          </cell>
        </row>
        <row r="1124">
          <cell r="Q1124" t="str">
            <v>S1220450</v>
          </cell>
          <cell r="R1124" t="str">
            <v xml:space="preserve">Maskiner / Rev nedskrivninger                     </v>
          </cell>
          <cell r="S1124" t="str">
            <v xml:space="preserve">Machinery / Reversed WD                           </v>
          </cell>
        </row>
        <row r="1125">
          <cell r="Q1125" t="str">
            <v>S1220455</v>
          </cell>
          <cell r="R1125" t="str">
            <v xml:space="preserve">Maskiner / Omregningsdifferanser                  </v>
          </cell>
          <cell r="S1125" t="str">
            <v xml:space="preserve">Machinery / Translation differences               </v>
          </cell>
        </row>
        <row r="1126">
          <cell r="Q1126" t="str">
            <v>S1220460</v>
          </cell>
          <cell r="R1126" t="str">
            <v xml:space="preserve">Maskiner / Nedskrivninger 31.12                   </v>
          </cell>
          <cell r="S1126" t="str">
            <v xml:space="preserve">Machinery / Write Downs 31.12                     </v>
          </cell>
        </row>
        <row r="1127">
          <cell r="Q1127" t="str">
            <v>S1220OBA</v>
          </cell>
          <cell r="R1127" t="str">
            <v xml:space="preserve">Maskiner / IB                                     </v>
          </cell>
          <cell r="S1127" t="str">
            <v xml:space="preserve">Machinery / OBB                                   </v>
          </cell>
        </row>
        <row r="1128">
          <cell r="Q1128" t="str">
            <v>S1230</v>
          </cell>
          <cell r="R1128" t="str">
            <v xml:space="preserve">Inventar og transportmidler                       </v>
          </cell>
          <cell r="S1128" t="str">
            <v xml:space="preserve">Furniture, Vehicles                               </v>
          </cell>
        </row>
        <row r="1129">
          <cell r="Q1129" t="str">
            <v>S1230010</v>
          </cell>
          <cell r="R1129" t="str">
            <v xml:space="preserve">Inventar / Avskrivning %                          </v>
          </cell>
          <cell r="S1129" t="str">
            <v xml:space="preserve">Equipment / Depreciation %                        </v>
          </cell>
        </row>
        <row r="1130">
          <cell r="Q1130" t="str">
            <v>S1230110</v>
          </cell>
          <cell r="R1130" t="str">
            <v xml:space="preserve">Inventar / Nyanskaffelse                          </v>
          </cell>
          <cell r="S1130" t="str">
            <v xml:space="preserve">Equipment / Purchase                              </v>
          </cell>
        </row>
        <row r="1131">
          <cell r="Q1131" t="str">
            <v>S1230111</v>
          </cell>
          <cell r="R1131" t="str">
            <v xml:space="preserve">Inventar / Nyanskaffelse ved kjøp av virksomhet   </v>
          </cell>
          <cell r="S1131" t="str">
            <v xml:space="preserve">Equipment / Purchase acq companies                </v>
          </cell>
        </row>
        <row r="1132">
          <cell r="Q1132" t="str">
            <v>S1230112</v>
          </cell>
          <cell r="R1132" t="str">
            <v xml:space="preserve">Inventar / Reklassifiseringer                     </v>
          </cell>
          <cell r="S1132" t="str">
            <v xml:space="preserve">Equipment / Reclassifications                     </v>
          </cell>
        </row>
        <row r="1133">
          <cell r="Q1133" t="str">
            <v>S1230120</v>
          </cell>
          <cell r="R1133" t="str">
            <v xml:space="preserve">Inventar / Avgang i år                            </v>
          </cell>
          <cell r="S1133" t="str">
            <v xml:space="preserve">Equipment / Sale this year                        </v>
          </cell>
        </row>
        <row r="1134">
          <cell r="Q1134" t="str">
            <v>S1230121</v>
          </cell>
          <cell r="R1134" t="str">
            <v xml:space="preserve">Inventar / Avgang ved salg av virksomhet          </v>
          </cell>
          <cell r="S1134" t="str">
            <v xml:space="preserve">Equipment / Scrap sale of company                 </v>
          </cell>
        </row>
        <row r="1135">
          <cell r="Q1135" t="str">
            <v>S1230129</v>
          </cell>
          <cell r="R1135" t="str">
            <v xml:space="preserve">Inventar / Omregningsdifferanser                  </v>
          </cell>
          <cell r="S1135" t="str">
            <v xml:space="preserve">Equipment / Translation differences               </v>
          </cell>
        </row>
        <row r="1136">
          <cell r="Q1136" t="str">
            <v>S1230130</v>
          </cell>
          <cell r="R1136" t="str">
            <v xml:space="preserve">Inventar / Anskaffelses verdi 31.12               </v>
          </cell>
          <cell r="S1136" t="str">
            <v xml:space="preserve">Equipment / Purchase value 31.12                  </v>
          </cell>
        </row>
        <row r="1137">
          <cell r="Q1137" t="str">
            <v>S1230210</v>
          </cell>
          <cell r="R1137" t="str">
            <v xml:space="preserve">Inventar / Akk avskrivninger 1.1                  </v>
          </cell>
          <cell r="S1137" t="str">
            <v xml:space="preserve">Equipment / Agg depreciation 1.1                  </v>
          </cell>
        </row>
        <row r="1138">
          <cell r="Q1138" t="str">
            <v>S1230220</v>
          </cell>
          <cell r="R1138" t="str">
            <v xml:space="preserve">Inventar / Akk avskrivninger salg driftsmidler    </v>
          </cell>
          <cell r="S1138" t="str">
            <v xml:space="preserve">Equipment / Agg depr sale assets                  </v>
          </cell>
        </row>
        <row r="1139">
          <cell r="Q1139" t="str">
            <v>S1230221</v>
          </cell>
          <cell r="R1139" t="str">
            <v xml:space="preserve">Inventar / Akk avskr salg av virksomhet           </v>
          </cell>
          <cell r="S1139" t="str">
            <v xml:space="preserve">Equipment / Agg depr sale of company              </v>
          </cell>
        </row>
        <row r="1140">
          <cell r="Q1140" t="str">
            <v>S1230222</v>
          </cell>
          <cell r="R1140" t="str">
            <v xml:space="preserve">Inventar / Reklassifisering                       </v>
          </cell>
          <cell r="S1140" t="str">
            <v xml:space="preserve">Equipment / Reclassifications                     </v>
          </cell>
        </row>
        <row r="1141">
          <cell r="Q1141" t="str">
            <v>S1230230</v>
          </cell>
          <cell r="R1141" t="str">
            <v xml:space="preserve">Inventar / Årets avskrivning                      </v>
          </cell>
          <cell r="S1141" t="str">
            <v xml:space="preserve">Equipment / Depreciation this year                </v>
          </cell>
        </row>
        <row r="1142">
          <cell r="Q1142" t="str">
            <v>S1230240</v>
          </cell>
          <cell r="R1142" t="str">
            <v xml:space="preserve">Inventar / Omregningsdifferanser                  </v>
          </cell>
          <cell r="S1142" t="str">
            <v xml:space="preserve">Equipment / Translation differences               </v>
          </cell>
        </row>
        <row r="1143">
          <cell r="Q1143" t="str">
            <v>S1230250</v>
          </cell>
          <cell r="R1143" t="str">
            <v xml:space="preserve">Inventar / Avskrivninger 31.12                    </v>
          </cell>
          <cell r="S1143" t="str">
            <v xml:space="preserve">Equipment / Depreciation 31.12                    </v>
          </cell>
        </row>
        <row r="1144">
          <cell r="Q1144" t="str">
            <v>S1230310</v>
          </cell>
          <cell r="R1144" t="str">
            <v xml:space="preserve">Inventar / Salgssum                               </v>
          </cell>
          <cell r="S1144" t="str">
            <v xml:space="preserve">Equipment / Sales value                           </v>
          </cell>
        </row>
        <row r="1145">
          <cell r="Q1145" t="str">
            <v>S1230320</v>
          </cell>
          <cell r="R1145" t="str">
            <v xml:space="preserve">Inventar / Bokført verdi                          </v>
          </cell>
          <cell r="S1145" t="str">
            <v xml:space="preserve">Equipment / Booked value                          </v>
          </cell>
        </row>
        <row r="1146">
          <cell r="Q1146" t="str">
            <v>S1230330</v>
          </cell>
          <cell r="R1146" t="str">
            <v xml:space="preserve">Inventar / Gevinst / Tap                          </v>
          </cell>
          <cell r="S1146" t="str">
            <v xml:space="preserve">Equipment / Gain / Losses                         </v>
          </cell>
        </row>
        <row r="1147">
          <cell r="Q1147" t="str">
            <v>S1230410</v>
          </cell>
          <cell r="R1147" t="str">
            <v xml:space="preserve">Inventar / Akk nedskr 01.01                       </v>
          </cell>
          <cell r="S1147" t="str">
            <v xml:space="preserve">Equipment / Agg WD 01.01                          </v>
          </cell>
        </row>
        <row r="1148">
          <cell r="Q1148" t="str">
            <v>S1230420</v>
          </cell>
          <cell r="R1148" t="str">
            <v xml:space="preserve">Inventar / Akk nedskrivninger ved salg driftsm    </v>
          </cell>
          <cell r="S1148" t="str">
            <v xml:space="preserve">Equipment / Agg WD sale of asset                  </v>
          </cell>
        </row>
        <row r="1149">
          <cell r="Q1149" t="str">
            <v>S1230430</v>
          </cell>
          <cell r="R1149" t="str">
            <v xml:space="preserve">Inventar / Nedskrivning salg selskap              </v>
          </cell>
          <cell r="S1149" t="str">
            <v xml:space="preserve">Equipment / WD sale company                       </v>
          </cell>
        </row>
        <row r="1150">
          <cell r="Q1150" t="str">
            <v>S1230432</v>
          </cell>
          <cell r="R1150" t="str">
            <v xml:space="preserve">Inventar / Reklassifisering                       </v>
          </cell>
          <cell r="S1150" t="str">
            <v xml:space="preserve">Equipment / Reclassifications                     </v>
          </cell>
        </row>
        <row r="1151">
          <cell r="Q1151" t="str">
            <v>S1230440</v>
          </cell>
          <cell r="R1151" t="str">
            <v xml:space="preserve">Inventar / Årets nedskrivning                     </v>
          </cell>
          <cell r="S1151" t="str">
            <v xml:space="preserve">Equipment / This year WD                          </v>
          </cell>
        </row>
        <row r="1152">
          <cell r="Q1152" t="str">
            <v>S1230450</v>
          </cell>
          <cell r="R1152" t="str">
            <v xml:space="preserve">Inventar / Rev nedskrivning                       </v>
          </cell>
          <cell r="S1152" t="str">
            <v xml:space="preserve">Equipment / Reversed WD                           </v>
          </cell>
        </row>
        <row r="1153">
          <cell r="Q1153" t="str">
            <v>S1230455</v>
          </cell>
          <cell r="R1153" t="str">
            <v xml:space="preserve">Inventar / Omregningsdifferanser                  </v>
          </cell>
          <cell r="S1153" t="str">
            <v xml:space="preserve">Equipment / Translation differnces                </v>
          </cell>
        </row>
        <row r="1154">
          <cell r="Q1154" t="str">
            <v>S1230460</v>
          </cell>
          <cell r="R1154" t="str">
            <v xml:space="preserve">Inventar / Nedskrivning 31.12                     </v>
          </cell>
          <cell r="S1154" t="str">
            <v xml:space="preserve">Equipment / Write Downs 31.12                     </v>
          </cell>
        </row>
        <row r="1155">
          <cell r="Q1155" t="str">
            <v>S1230OBA</v>
          </cell>
          <cell r="R1155" t="str">
            <v xml:space="preserve">Inventar / IB                                     </v>
          </cell>
          <cell r="S1155" t="str">
            <v xml:space="preserve">Equipment / OBB                                   </v>
          </cell>
        </row>
        <row r="1156">
          <cell r="Q1156" t="str">
            <v>S1299</v>
          </cell>
          <cell r="R1156" t="str">
            <v xml:space="preserve">Sum varige driftsmidler og goodwill               </v>
          </cell>
          <cell r="S1156" t="str">
            <v xml:space="preserve">Total operating assets and goodwill               </v>
          </cell>
        </row>
        <row r="1157">
          <cell r="Q1157" t="str">
            <v>S1299010</v>
          </cell>
          <cell r="R1157" t="str">
            <v xml:space="preserve">Sum var driftsm / Avskr profil                    </v>
          </cell>
          <cell r="S1157" t="str">
            <v xml:space="preserve">Tot oper ass / Depr rate                          </v>
          </cell>
        </row>
        <row r="1158">
          <cell r="Q1158" t="str">
            <v>S1299110</v>
          </cell>
          <cell r="R1158" t="str">
            <v xml:space="preserve">Sum var driftsm / Nyanskaffelse                   </v>
          </cell>
          <cell r="S1158" t="str">
            <v xml:space="preserve">Tot oper ass / Provided this year                 </v>
          </cell>
        </row>
        <row r="1159">
          <cell r="Q1159" t="str">
            <v>S1299111</v>
          </cell>
          <cell r="R1159" t="str">
            <v xml:space="preserve">Sum var driftsm / Nyansk. kj selskap              </v>
          </cell>
          <cell r="S1159" t="str">
            <v xml:space="preserve">Tot oper ass / Prov.purc.comp                     </v>
          </cell>
        </row>
        <row r="1160">
          <cell r="Q1160" t="str">
            <v>S1299112</v>
          </cell>
          <cell r="R1160" t="str">
            <v xml:space="preserve">Sum var driftsm / Reklassifisering                </v>
          </cell>
          <cell r="S1160" t="str">
            <v xml:space="preserve">Tot oper ass / Reclassifications                  </v>
          </cell>
        </row>
        <row r="1161">
          <cell r="Q1161" t="str">
            <v>S1299120</v>
          </cell>
          <cell r="R1161" t="str">
            <v xml:space="preserve">Sum var driftsm / 120                             </v>
          </cell>
          <cell r="S1161" t="str">
            <v xml:space="preserve">Tot oper ass / 120                                </v>
          </cell>
        </row>
        <row r="1162">
          <cell r="Q1162" t="str">
            <v>S1299121</v>
          </cell>
          <cell r="R1162" t="str">
            <v xml:space="preserve">Sum var driftsm / 121                             </v>
          </cell>
          <cell r="S1162" t="str">
            <v xml:space="preserve">Tot oper ass / 121                                </v>
          </cell>
        </row>
        <row r="1163">
          <cell r="Q1163" t="str">
            <v>S1299129</v>
          </cell>
          <cell r="R1163" t="str">
            <v xml:space="preserve">Sum var driftsm / 129                             </v>
          </cell>
          <cell r="S1163" t="str">
            <v xml:space="preserve">Tot oper ass / 129                                </v>
          </cell>
        </row>
        <row r="1164">
          <cell r="Q1164" t="str">
            <v>S1299130</v>
          </cell>
          <cell r="R1164" t="str">
            <v xml:space="preserve">Sum var driftsm / Ansk.verdi 13.12                </v>
          </cell>
          <cell r="S1164" t="str">
            <v xml:space="preserve">Tot oper ass / Purchase val. 31.12                </v>
          </cell>
        </row>
        <row r="1165">
          <cell r="Q1165" t="str">
            <v>S1299210</v>
          </cell>
          <cell r="R1165" t="str">
            <v xml:space="preserve">Sum var driftsm / 210                             </v>
          </cell>
          <cell r="S1165" t="str">
            <v xml:space="preserve">Tot oper ass / 210                                </v>
          </cell>
        </row>
        <row r="1166">
          <cell r="Q1166" t="str">
            <v>S1299220</v>
          </cell>
          <cell r="R1166" t="str">
            <v xml:space="preserve">Sum var driftsm / 220                             </v>
          </cell>
          <cell r="S1166" t="str">
            <v xml:space="preserve">Tot oper ass / 220                                </v>
          </cell>
        </row>
        <row r="1167">
          <cell r="Q1167" t="str">
            <v>S1299221</v>
          </cell>
          <cell r="R1167" t="str">
            <v xml:space="preserve">Sum var driftsm / 221                             </v>
          </cell>
          <cell r="S1167" t="str">
            <v xml:space="preserve">Tot oper ass / 221                                </v>
          </cell>
        </row>
        <row r="1168">
          <cell r="Q1168" t="str">
            <v>S1299222</v>
          </cell>
          <cell r="R1168" t="str">
            <v xml:space="preserve">Sum var driftsm / Reklassifisering                </v>
          </cell>
          <cell r="S1168" t="str">
            <v xml:space="preserve">Tot oper ass / Reclassifications                  </v>
          </cell>
        </row>
        <row r="1169">
          <cell r="Q1169" t="str">
            <v>S1299230</v>
          </cell>
          <cell r="R1169" t="str">
            <v xml:space="preserve">Sum var driftsm / 230                             </v>
          </cell>
          <cell r="S1169" t="str">
            <v xml:space="preserve">Tot oper ass / 230                                </v>
          </cell>
        </row>
        <row r="1170">
          <cell r="Q1170" t="str">
            <v>S1299240</v>
          </cell>
          <cell r="R1170" t="str">
            <v xml:space="preserve">Sum var driftsm / 240                             </v>
          </cell>
          <cell r="S1170" t="str">
            <v xml:space="preserve">Tot oper ass / 240                                </v>
          </cell>
        </row>
        <row r="1171">
          <cell r="Q1171" t="str">
            <v>S1299250</v>
          </cell>
          <cell r="R1171" t="str">
            <v xml:space="preserve">Sum var driftsm / 230                             </v>
          </cell>
          <cell r="S1171" t="str">
            <v xml:space="preserve">Tot oper ass / 230                                </v>
          </cell>
        </row>
        <row r="1172">
          <cell r="Q1172" t="str">
            <v>S1299310</v>
          </cell>
          <cell r="R1172" t="str">
            <v xml:space="preserve">Sum var driftsm / 310                             </v>
          </cell>
          <cell r="S1172" t="str">
            <v xml:space="preserve">Tot oper ass / 310                                </v>
          </cell>
        </row>
        <row r="1173">
          <cell r="Q1173" t="str">
            <v>S1299320</v>
          </cell>
          <cell r="R1173" t="str">
            <v xml:space="preserve">Sum var driftsm / 320                             </v>
          </cell>
          <cell r="S1173" t="str">
            <v xml:space="preserve">Tot oper ass / 320                                </v>
          </cell>
        </row>
        <row r="1174">
          <cell r="Q1174" t="str">
            <v>S1299330</v>
          </cell>
          <cell r="R1174" t="str">
            <v xml:space="preserve">Sum var driftsm / 330                             </v>
          </cell>
          <cell r="S1174" t="str">
            <v xml:space="preserve">Tot oper ass / 330                                </v>
          </cell>
        </row>
        <row r="1175">
          <cell r="Q1175" t="str">
            <v>S1299410</v>
          </cell>
          <cell r="R1175" t="str">
            <v xml:space="preserve">Sum var driftsm / Akk nedskr 01.01                </v>
          </cell>
          <cell r="S1175" t="str">
            <v xml:space="preserve">Tot oper ass / Akk WD 01.01                       </v>
          </cell>
        </row>
        <row r="1176">
          <cell r="Q1176" t="str">
            <v>S1299420</v>
          </cell>
          <cell r="R1176" t="str">
            <v xml:space="preserve">Sum var driftsm / Nedskr - salg                   </v>
          </cell>
          <cell r="S1176" t="str">
            <v xml:space="preserve">Tot oper ass / WD - sale                          </v>
          </cell>
        </row>
        <row r="1177">
          <cell r="Q1177" t="str">
            <v>S1299430</v>
          </cell>
          <cell r="R1177" t="str">
            <v xml:space="preserve">Sum var driftsm / Nedskr-salg-selskap             </v>
          </cell>
          <cell r="S1177" t="str">
            <v xml:space="preserve">Tot oper ass / WD - sale  company                 </v>
          </cell>
        </row>
        <row r="1178">
          <cell r="Q1178" t="str">
            <v>S1299432</v>
          </cell>
          <cell r="R1178" t="str">
            <v xml:space="preserve">Sum var driftsm / Reklassifisering                </v>
          </cell>
          <cell r="S1178" t="str">
            <v xml:space="preserve">Tot oper ass / Reclassifications                  </v>
          </cell>
        </row>
        <row r="1179">
          <cell r="Q1179" t="str">
            <v>S1299440</v>
          </cell>
          <cell r="R1179" t="str">
            <v xml:space="preserve">Sum var driftsm / Årets nedskr.                   </v>
          </cell>
          <cell r="S1179" t="str">
            <v xml:space="preserve">Tot oper ass / This year WD                       </v>
          </cell>
        </row>
        <row r="1180">
          <cell r="Q1180" t="str">
            <v>S1299450</v>
          </cell>
          <cell r="R1180" t="str">
            <v xml:space="preserve">Sum var driftsm / Rev nedskr.                     </v>
          </cell>
          <cell r="S1180" t="str">
            <v xml:space="preserve">Tot oper ass / Reversed WD                        </v>
          </cell>
        </row>
        <row r="1181">
          <cell r="Q1181" t="str">
            <v>S1299455</v>
          </cell>
          <cell r="R1181" t="str">
            <v xml:space="preserve">Sum var driftsm / 455                             </v>
          </cell>
          <cell r="S1181" t="str">
            <v xml:space="preserve">Tot oper ass / 240                                </v>
          </cell>
        </row>
        <row r="1182">
          <cell r="Q1182" t="str">
            <v>S1299460</v>
          </cell>
          <cell r="R1182" t="str">
            <v xml:space="preserve">Sum var driftsm / Nedskr. 31.12                   </v>
          </cell>
          <cell r="S1182" t="str">
            <v xml:space="preserve">Tot oper ass / Write Downs 31.12                  </v>
          </cell>
        </row>
        <row r="1183">
          <cell r="Q1183" t="str">
            <v>S1299OBA</v>
          </cell>
          <cell r="R1183" t="str">
            <v xml:space="preserve">Sum var driftsm / IB                              </v>
          </cell>
          <cell r="S1183" t="str">
            <v xml:space="preserve">Tot oper ass / OBB                                </v>
          </cell>
        </row>
        <row r="1184">
          <cell r="Q1184" t="str">
            <v>SUM100</v>
          </cell>
          <cell r="R1184" t="str">
            <v xml:space="preserve">Opplag totalt                                     </v>
          </cell>
          <cell r="S1184" t="str">
            <v xml:space="preserve">Opplag totalt                                     </v>
          </cell>
        </row>
        <row r="1185">
          <cell r="Q1185" t="str">
            <v>SUM200</v>
          </cell>
          <cell r="R1185" t="str">
            <v xml:space="preserve">Annonsevolum totalt                               </v>
          </cell>
          <cell r="S1185" t="str">
            <v xml:space="preserve">Annonsevolum totalt                               </v>
          </cell>
        </row>
        <row r="1186">
          <cell r="Q1186" t="str">
            <v>SV101</v>
          </cell>
          <cell r="R1186" t="str">
            <v xml:space="preserve">Svenska Dagbladet, hverdager                      </v>
          </cell>
          <cell r="S1186" t="str">
            <v xml:space="preserve">Svenska Dagbladet, hverdager                      </v>
          </cell>
        </row>
        <row r="1187">
          <cell r="Q1187" t="str">
            <v>SV102</v>
          </cell>
          <cell r="R1187" t="str">
            <v xml:space="preserve">Svenska Dagbladet, søndag                         </v>
          </cell>
          <cell r="S1187" t="str">
            <v xml:space="preserve">Svenska Dagbladet, søndag                         </v>
          </cell>
        </row>
        <row r="1188">
          <cell r="Q1188" t="str">
            <v>SV201</v>
          </cell>
          <cell r="R1188" t="str">
            <v xml:space="preserve">Svenska Dagbladet - annonsevolum                  </v>
          </cell>
          <cell r="S1188" t="str">
            <v xml:space="preserve">Svenska Dagbladet - annonsevolum                  </v>
          </cell>
        </row>
      </sheetData>
      <sheetData sheetId="7">
        <row r="3">
          <cell r="A3">
            <v>111</v>
          </cell>
        </row>
      </sheetData>
      <sheetData sheetId="8"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285"/>
  <sheetViews>
    <sheetView tabSelected="1" zoomScaleNormal="100" workbookViewId="0">
      <selection activeCell="A3" sqref="A3"/>
    </sheetView>
  </sheetViews>
  <sheetFormatPr baseColWidth="10" defaultRowHeight="13.2" x14ac:dyDescent="0.25"/>
  <cols>
    <col min="1" max="1" width="32.33203125" customWidth="1"/>
    <col min="2" max="2" width="11.33203125" customWidth="1"/>
    <col min="3" max="3" width="14.5546875" customWidth="1"/>
    <col min="4" max="4" width="12.77734375" bestFit="1" customWidth="1"/>
    <col min="5" max="5" width="18" customWidth="1"/>
    <col min="6" max="6" width="8.6640625" customWidth="1"/>
    <col min="7" max="7" width="14.6640625" customWidth="1"/>
    <col min="8" max="8" width="12.5546875" bestFit="1" customWidth="1"/>
    <col min="9" max="11" width="11.44140625" bestFit="1" customWidth="1"/>
    <col min="12" max="12" width="5.109375" customWidth="1"/>
    <col min="13" max="13" width="29.5546875" style="306" customWidth="1"/>
    <col min="14" max="14" width="11.44140625" style="306"/>
    <col min="15" max="16" width="17" style="306" customWidth="1"/>
    <col min="17" max="17" width="14.109375" style="306" customWidth="1"/>
    <col min="18" max="21" width="11.44140625" style="306"/>
  </cols>
  <sheetData>
    <row r="1" spans="1:21" ht="13.8" x14ac:dyDescent="0.25">
      <c r="A1" s="317" t="s">
        <v>514</v>
      </c>
      <c r="U1"/>
    </row>
    <row r="2" spans="1:21" x14ac:dyDescent="0.25">
      <c r="G2" s="291" t="s">
        <v>523</v>
      </c>
      <c r="H2" s="301" t="s">
        <v>495</v>
      </c>
      <c r="I2" s="302"/>
      <c r="J2" s="302"/>
      <c r="K2" s="303"/>
      <c r="M2" s="318"/>
      <c r="N2" s="318"/>
      <c r="O2" s="318"/>
      <c r="P2" s="318" t="s">
        <v>491</v>
      </c>
      <c r="Q2" s="319" t="s">
        <v>495</v>
      </c>
      <c r="R2" s="337"/>
      <c r="S2" s="337"/>
      <c r="T2" s="337"/>
      <c r="U2"/>
    </row>
    <row r="3" spans="1:21" ht="39.6" x14ac:dyDescent="0.25">
      <c r="A3" s="272" t="s">
        <v>519</v>
      </c>
      <c r="B3" s="279" t="s">
        <v>487</v>
      </c>
      <c r="C3" s="279" t="s">
        <v>494</v>
      </c>
      <c r="D3" s="279" t="s">
        <v>503</v>
      </c>
      <c r="E3" s="279" t="s">
        <v>504</v>
      </c>
      <c r="F3" s="310" t="s">
        <v>510</v>
      </c>
      <c r="G3" s="292" t="s">
        <v>518</v>
      </c>
      <c r="H3" s="280" t="str">
        <f>+Q3</f>
        <v>Red. papiravis</v>
      </c>
      <c r="I3" s="281" t="s">
        <v>522</v>
      </c>
      <c r="J3" s="288" t="s">
        <v>520</v>
      </c>
      <c r="K3" s="296" t="s">
        <v>521</v>
      </c>
      <c r="M3" s="318" t="s">
        <v>477</v>
      </c>
      <c r="N3" s="330" t="s">
        <v>83</v>
      </c>
      <c r="O3" s="330" t="s">
        <v>479</v>
      </c>
      <c r="P3" s="331" t="str">
        <f>+G3</f>
        <v>Pr. 31.12.2012</v>
      </c>
      <c r="Q3" s="330" t="s">
        <v>485</v>
      </c>
      <c r="R3" s="330" t="s">
        <v>484</v>
      </c>
      <c r="S3" s="330" t="s">
        <v>480</v>
      </c>
      <c r="T3" s="330" t="s">
        <v>481</v>
      </c>
      <c r="U3"/>
    </row>
    <row r="4" spans="1:21" x14ac:dyDescent="0.25">
      <c r="A4" s="255"/>
      <c r="B4" s="256" t="s">
        <v>83</v>
      </c>
      <c r="C4" s="256"/>
      <c r="D4" s="256"/>
      <c r="E4" s="256"/>
      <c r="F4" s="311"/>
      <c r="G4" s="293"/>
      <c r="H4" s="282"/>
      <c r="I4" s="283"/>
      <c r="J4" s="297"/>
      <c r="K4" s="298"/>
      <c r="M4" s="318" t="s">
        <v>517</v>
      </c>
      <c r="N4" s="342">
        <f>SUM(N5:N10)</f>
        <v>83</v>
      </c>
      <c r="O4" s="318"/>
      <c r="P4" s="318"/>
      <c r="Q4" s="318"/>
      <c r="R4" s="318"/>
      <c r="S4" s="318"/>
      <c r="T4" s="318"/>
      <c r="U4"/>
    </row>
    <row r="5" spans="1:21" x14ac:dyDescent="0.25">
      <c r="A5" s="257"/>
      <c r="B5" s="55"/>
      <c r="C5" s="55"/>
      <c r="D5" s="55"/>
      <c r="E5" s="55"/>
      <c r="F5" s="312"/>
      <c r="G5" s="293"/>
      <c r="H5" s="282"/>
      <c r="I5" s="283"/>
      <c r="J5" s="297"/>
      <c r="K5" s="298"/>
      <c r="M5" s="318" t="s">
        <v>515</v>
      </c>
      <c r="N5" s="342">
        <v>37</v>
      </c>
      <c r="O5" s="318"/>
      <c r="P5" s="318">
        <f t="shared" ref="P5:P10" si="0">+Q5+R5</f>
        <v>37</v>
      </c>
      <c r="Q5" s="318">
        <f>+N5/2</f>
        <v>18.5</v>
      </c>
      <c r="R5" s="318">
        <f>Q5</f>
        <v>18.5</v>
      </c>
      <c r="S5" s="318">
        <f>+R5/2</f>
        <v>9.25</v>
      </c>
      <c r="T5" s="318">
        <f>R5-S5</f>
        <v>9.25</v>
      </c>
      <c r="U5"/>
    </row>
    <row r="6" spans="1:21" x14ac:dyDescent="0.25">
      <c r="A6" s="258" t="s">
        <v>492</v>
      </c>
      <c r="B6" s="274">
        <v>44000</v>
      </c>
      <c r="C6" s="259"/>
      <c r="D6" s="259"/>
      <c r="E6" s="259">
        <f>+B6+C6+D6</f>
        <v>44000</v>
      </c>
      <c r="F6" s="338">
        <v>1</v>
      </c>
      <c r="G6" s="294">
        <f>+E6</f>
        <v>44000</v>
      </c>
      <c r="H6" s="284">
        <f>+G6-I6</f>
        <v>25911.111111111113</v>
      </c>
      <c r="I6" s="285">
        <f>+G6*Q20/2</f>
        <v>18088.888888888887</v>
      </c>
      <c r="J6" s="289">
        <f>+I6/2</f>
        <v>9044.4444444444434</v>
      </c>
      <c r="K6" s="299">
        <f>+I6-J6</f>
        <v>9044.4444444444434</v>
      </c>
      <c r="L6" s="254"/>
      <c r="M6" s="318" t="s">
        <v>516</v>
      </c>
      <c r="N6" s="342">
        <v>8</v>
      </c>
      <c r="O6" s="318"/>
      <c r="P6" s="318">
        <f t="shared" si="0"/>
        <v>8</v>
      </c>
      <c r="Q6" s="318">
        <v>8</v>
      </c>
      <c r="R6" s="318">
        <v>0</v>
      </c>
      <c r="S6" s="318">
        <f>+R6/2</f>
        <v>0</v>
      </c>
      <c r="T6" s="318">
        <f>R6-S6</f>
        <v>0</v>
      </c>
      <c r="U6"/>
    </row>
    <row r="7" spans="1:21" x14ac:dyDescent="0.25">
      <c r="A7" s="257"/>
      <c r="B7" s="274"/>
      <c r="C7" s="259"/>
      <c r="D7" s="259"/>
      <c r="E7" s="259"/>
      <c r="F7" s="259"/>
      <c r="G7" s="294"/>
      <c r="H7" s="284"/>
      <c r="I7" s="285"/>
      <c r="J7" s="289"/>
      <c r="K7" s="299"/>
      <c r="L7" s="254"/>
      <c r="M7" s="318" t="s">
        <v>478</v>
      </c>
      <c r="N7" s="342">
        <v>3</v>
      </c>
      <c r="O7" s="318"/>
      <c r="P7" s="318">
        <f t="shared" si="0"/>
        <v>3</v>
      </c>
      <c r="Q7" s="318">
        <f>+N7/2</f>
        <v>1.5</v>
      </c>
      <c r="R7" s="318">
        <f>+N7/2</f>
        <v>1.5</v>
      </c>
      <c r="S7" s="318">
        <f>+R7/2</f>
        <v>0.75</v>
      </c>
      <c r="T7" s="318">
        <f>R7-S7</f>
        <v>0.75</v>
      </c>
      <c r="U7"/>
    </row>
    <row r="8" spans="1:21" x14ac:dyDescent="0.25">
      <c r="A8" s="258" t="s">
        <v>493</v>
      </c>
      <c r="B8" s="274">
        <v>19000</v>
      </c>
      <c r="C8" s="259"/>
      <c r="D8" s="259"/>
      <c r="E8" s="259">
        <f t="shared" ref="E8:E21" si="1">+B8+C8+D8</f>
        <v>19000</v>
      </c>
      <c r="F8" s="339" t="s">
        <v>502</v>
      </c>
      <c r="G8" s="294">
        <f>+E8*$P$17</f>
        <v>12132.530120481926</v>
      </c>
      <c r="H8" s="284">
        <f>+G8-I8</f>
        <v>6981.9277108433726</v>
      </c>
      <c r="I8" s="285">
        <f>+G8*R12</f>
        <v>5150.6024096385536</v>
      </c>
      <c r="J8" s="289">
        <f t="shared" ref="J8:J17" si="2">+I8/2</f>
        <v>2575.3012048192768</v>
      </c>
      <c r="K8" s="299">
        <f t="shared" ref="K8:K17" si="3">+I8-J8</f>
        <v>2575.3012048192768</v>
      </c>
      <c r="L8" s="254"/>
      <c r="M8" s="318" t="s">
        <v>482</v>
      </c>
      <c r="N8" s="342">
        <v>2</v>
      </c>
      <c r="O8" s="318"/>
      <c r="P8" s="318">
        <f t="shared" si="0"/>
        <v>2</v>
      </c>
      <c r="Q8" s="318">
        <f>+N8/2</f>
        <v>1</v>
      </c>
      <c r="R8" s="318">
        <f>+N8/2</f>
        <v>1</v>
      </c>
      <c r="S8" s="318">
        <f>+R8/2</f>
        <v>0.5</v>
      </c>
      <c r="T8" s="318">
        <f>R8-S8</f>
        <v>0.5</v>
      </c>
      <c r="U8"/>
    </row>
    <row r="9" spans="1:21" x14ac:dyDescent="0.25">
      <c r="A9" s="257" t="s">
        <v>467</v>
      </c>
      <c r="B9" s="274">
        <v>16000</v>
      </c>
      <c r="C9" s="259"/>
      <c r="D9" s="259"/>
      <c r="E9" s="259">
        <f t="shared" si="1"/>
        <v>16000</v>
      </c>
      <c r="F9" s="338">
        <v>0.8</v>
      </c>
      <c r="G9" s="294">
        <f>+E9*F9</f>
        <v>12800</v>
      </c>
      <c r="H9" s="284">
        <f>+G9</f>
        <v>12800</v>
      </c>
      <c r="I9" s="285"/>
      <c r="J9" s="289">
        <f t="shared" si="2"/>
        <v>0</v>
      </c>
      <c r="K9" s="299">
        <f t="shared" si="3"/>
        <v>0</v>
      </c>
      <c r="L9" s="254"/>
      <c r="M9" s="318" t="s">
        <v>483</v>
      </c>
      <c r="N9" s="342">
        <v>5</v>
      </c>
      <c r="O9" s="342">
        <v>2</v>
      </c>
      <c r="P9" s="318">
        <f t="shared" si="0"/>
        <v>3</v>
      </c>
      <c r="Q9" s="318">
        <f>(+N9-O9)/2</f>
        <v>1.5</v>
      </c>
      <c r="R9" s="318">
        <f>Q9</f>
        <v>1.5</v>
      </c>
      <c r="S9" s="318">
        <f>+R9/2</f>
        <v>0.75</v>
      </c>
      <c r="T9" s="318">
        <f>R9-S9</f>
        <v>0.75</v>
      </c>
      <c r="U9"/>
    </row>
    <row r="10" spans="1:21" x14ac:dyDescent="0.25">
      <c r="A10" s="257" t="s">
        <v>470</v>
      </c>
      <c r="B10" s="274">
        <v>12000</v>
      </c>
      <c r="C10" s="259"/>
      <c r="D10" s="274">
        <v>-1000</v>
      </c>
      <c r="E10" s="259">
        <f t="shared" si="1"/>
        <v>11000</v>
      </c>
      <c r="F10" s="338">
        <v>0.8</v>
      </c>
      <c r="G10" s="294">
        <f>+E10*F10</f>
        <v>8800</v>
      </c>
      <c r="H10" s="284">
        <f>+G10</f>
        <v>8800</v>
      </c>
      <c r="I10" s="285"/>
      <c r="J10" s="289">
        <f t="shared" si="2"/>
        <v>0</v>
      </c>
      <c r="K10" s="299">
        <f t="shared" si="3"/>
        <v>0</v>
      </c>
      <c r="L10" s="254"/>
      <c r="M10" s="319" t="s">
        <v>24</v>
      </c>
      <c r="N10" s="343">
        <v>28</v>
      </c>
      <c r="O10" s="343">
        <f>+N10</f>
        <v>28</v>
      </c>
      <c r="P10" s="319">
        <f t="shared" si="0"/>
        <v>0</v>
      </c>
      <c r="Q10" s="319"/>
      <c r="R10" s="319"/>
      <c r="S10" s="319"/>
      <c r="T10" s="319"/>
      <c r="U10"/>
    </row>
    <row r="11" spans="1:21" x14ac:dyDescent="0.25">
      <c r="A11" s="258" t="s">
        <v>472</v>
      </c>
      <c r="B11" s="274">
        <v>1000</v>
      </c>
      <c r="C11" s="259"/>
      <c r="D11" s="259"/>
      <c r="E11" s="259">
        <f t="shared" si="1"/>
        <v>1000</v>
      </c>
      <c r="F11" s="338">
        <v>1</v>
      </c>
      <c r="G11" s="294">
        <f>+E11*F11</f>
        <v>1000</v>
      </c>
      <c r="H11" s="284">
        <f>+G11</f>
        <v>1000</v>
      </c>
      <c r="I11" s="285"/>
      <c r="J11" s="289">
        <f t="shared" si="2"/>
        <v>0</v>
      </c>
      <c r="K11" s="299">
        <f t="shared" si="3"/>
        <v>0</v>
      </c>
      <c r="L11" s="254"/>
      <c r="M11" s="318" t="s">
        <v>42</v>
      </c>
      <c r="N11" s="318"/>
      <c r="O11" s="318">
        <f t="shared" ref="O11:T11" si="4">SUM(O5:O10)</f>
        <v>30</v>
      </c>
      <c r="P11" s="320">
        <f t="shared" si="4"/>
        <v>53</v>
      </c>
      <c r="Q11" s="318">
        <f t="shared" si="4"/>
        <v>30.5</v>
      </c>
      <c r="R11" s="318">
        <f t="shared" si="4"/>
        <v>22.5</v>
      </c>
      <c r="S11" s="318">
        <f t="shared" si="4"/>
        <v>11.25</v>
      </c>
      <c r="T11" s="318">
        <f t="shared" si="4"/>
        <v>11.25</v>
      </c>
      <c r="U11"/>
    </row>
    <row r="12" spans="1:21" x14ac:dyDescent="0.25">
      <c r="A12" s="258" t="s">
        <v>473</v>
      </c>
      <c r="B12" s="274">
        <v>1000</v>
      </c>
      <c r="C12" s="259"/>
      <c r="D12" s="259"/>
      <c r="E12" s="259">
        <f t="shared" si="1"/>
        <v>1000</v>
      </c>
      <c r="F12" s="340" t="s">
        <v>502</v>
      </c>
      <c r="G12" s="294">
        <f>+E12*$P$17</f>
        <v>638.55421686746979</v>
      </c>
      <c r="H12" s="284">
        <f>+G12-I12</f>
        <v>367.46987951807222</v>
      </c>
      <c r="I12" s="285">
        <f>+G12*R12</f>
        <v>271.08433734939757</v>
      </c>
      <c r="J12" s="289">
        <f t="shared" si="2"/>
        <v>135.54216867469879</v>
      </c>
      <c r="K12" s="299">
        <f t="shared" si="3"/>
        <v>135.54216867469879</v>
      </c>
      <c r="L12" s="254"/>
      <c r="M12" s="318"/>
      <c r="N12" s="318"/>
      <c r="O12" s="318"/>
      <c r="P12" s="318"/>
      <c r="Q12" s="321">
        <f>+Q11/P11</f>
        <v>0.57547169811320753</v>
      </c>
      <c r="R12" s="321">
        <f>+R11/P11</f>
        <v>0.42452830188679247</v>
      </c>
      <c r="S12" s="318"/>
      <c r="T12" s="318"/>
      <c r="U12"/>
    </row>
    <row r="13" spans="1:21" x14ac:dyDescent="0.25">
      <c r="A13" s="258" t="s">
        <v>474</v>
      </c>
      <c r="B13" s="274">
        <v>5000</v>
      </c>
      <c r="C13" s="259"/>
      <c r="D13" s="259"/>
      <c r="E13" s="259">
        <f t="shared" si="1"/>
        <v>5000</v>
      </c>
      <c r="F13" s="338">
        <v>1</v>
      </c>
      <c r="G13" s="294">
        <f>+E13*F13</f>
        <v>5000</v>
      </c>
      <c r="H13" s="284">
        <f>G13/2</f>
        <v>2500</v>
      </c>
      <c r="I13" s="285">
        <f>G13-H13</f>
        <v>2500</v>
      </c>
      <c r="J13" s="289">
        <f t="shared" si="2"/>
        <v>1250</v>
      </c>
      <c r="K13" s="299">
        <f t="shared" si="3"/>
        <v>1250</v>
      </c>
      <c r="L13" s="254"/>
      <c r="M13" s="318" t="s">
        <v>486</v>
      </c>
      <c r="N13" s="318"/>
      <c r="O13" s="318"/>
      <c r="P13" s="318"/>
      <c r="Q13" s="318"/>
      <c r="R13" s="318"/>
      <c r="S13" s="318"/>
      <c r="T13" s="318"/>
      <c r="U13"/>
    </row>
    <row r="14" spans="1:21" x14ac:dyDescent="0.25">
      <c r="A14" s="258" t="s">
        <v>476</v>
      </c>
      <c r="B14" s="274">
        <v>8000</v>
      </c>
      <c r="C14" s="274">
        <v>-1000</v>
      </c>
      <c r="D14" s="259"/>
      <c r="E14" s="259">
        <f t="shared" si="1"/>
        <v>7000</v>
      </c>
      <c r="F14" s="338">
        <f>+Q19</f>
        <v>0.35714285714285715</v>
      </c>
      <c r="G14" s="294">
        <f>+E14*F14</f>
        <v>2500</v>
      </c>
      <c r="H14" s="284">
        <f>G14/2</f>
        <v>1250</v>
      </c>
      <c r="I14" s="285">
        <f>G14-H14</f>
        <v>1250</v>
      </c>
      <c r="J14" s="289">
        <f t="shared" si="2"/>
        <v>625</v>
      </c>
      <c r="K14" s="299">
        <f t="shared" si="3"/>
        <v>625</v>
      </c>
      <c r="L14" s="254"/>
      <c r="M14" s="318"/>
      <c r="N14" s="318"/>
      <c r="O14" s="318"/>
      <c r="P14" s="318"/>
      <c r="Q14" s="318"/>
      <c r="R14" s="318"/>
      <c r="S14" s="318"/>
      <c r="T14" s="318"/>
      <c r="U14"/>
    </row>
    <row r="15" spans="1:21" ht="18.75" customHeight="1" x14ac:dyDescent="0.25">
      <c r="A15" s="258" t="s">
        <v>512</v>
      </c>
      <c r="B15" s="274">
        <v>26000</v>
      </c>
      <c r="C15" s="259"/>
      <c r="D15" s="259"/>
      <c r="E15" s="259">
        <f t="shared" si="1"/>
        <v>26000</v>
      </c>
      <c r="F15" s="338">
        <v>0</v>
      </c>
      <c r="G15" s="294">
        <f t="shared" ref="G15:G21" si="5">+E15*F15</f>
        <v>0</v>
      </c>
      <c r="H15" s="284"/>
      <c r="I15" s="285"/>
      <c r="J15" s="289"/>
      <c r="K15" s="299"/>
      <c r="L15" s="254"/>
      <c r="M15" s="318"/>
      <c r="N15" s="330" t="s">
        <v>83</v>
      </c>
      <c r="O15" s="330" t="s">
        <v>479</v>
      </c>
      <c r="P15" s="331" t="str">
        <f>+P3</f>
        <v>Pr. 31.12.2012</v>
      </c>
      <c r="Q15" s="330" t="s">
        <v>485</v>
      </c>
      <c r="R15" s="330" t="s">
        <v>484</v>
      </c>
      <c r="S15" s="330" t="s">
        <v>480</v>
      </c>
      <c r="T15" s="330" t="s">
        <v>481</v>
      </c>
      <c r="U15"/>
    </row>
    <row r="16" spans="1:21" x14ac:dyDescent="0.25">
      <c r="A16" s="258" t="s">
        <v>475</v>
      </c>
      <c r="B16" s="274">
        <v>1000</v>
      </c>
      <c r="C16" s="259"/>
      <c r="D16" s="259"/>
      <c r="E16" s="259">
        <f t="shared" si="1"/>
        <v>1000</v>
      </c>
      <c r="F16" s="338">
        <v>1</v>
      </c>
      <c r="G16" s="294">
        <f t="shared" si="5"/>
        <v>1000</v>
      </c>
      <c r="H16" s="284">
        <f>+G16*0.9</f>
        <v>900</v>
      </c>
      <c r="I16" s="285">
        <f>G16-H16</f>
        <v>100</v>
      </c>
      <c r="J16" s="289">
        <f>+I16</f>
        <v>100</v>
      </c>
      <c r="K16" s="299">
        <v>0</v>
      </c>
      <c r="L16" s="254"/>
      <c r="M16" s="318"/>
      <c r="N16" s="318"/>
      <c r="O16" s="321"/>
      <c r="P16" s="321"/>
      <c r="Q16" s="321"/>
      <c r="R16" s="321"/>
      <c r="S16" s="321"/>
      <c r="T16" s="321"/>
      <c r="U16"/>
    </row>
    <row r="17" spans="1:21" x14ac:dyDescent="0.25">
      <c r="A17" s="257" t="s">
        <v>468</v>
      </c>
      <c r="B17" s="274">
        <v>5000</v>
      </c>
      <c r="C17" s="259"/>
      <c r="D17" s="259"/>
      <c r="E17" s="259">
        <f t="shared" si="1"/>
        <v>5000</v>
      </c>
      <c r="F17" s="340" t="s">
        <v>502</v>
      </c>
      <c r="G17" s="294">
        <f>+E17*$P$17</f>
        <v>3192.7710843373493</v>
      </c>
      <c r="H17" s="284">
        <f>+G17-I17</f>
        <v>1837.3493975903614</v>
      </c>
      <c r="I17" s="285">
        <f>+G17*R12</f>
        <v>1355.4216867469879</v>
      </c>
      <c r="J17" s="289">
        <f t="shared" si="2"/>
        <v>677.71084337349396</v>
      </c>
      <c r="K17" s="299">
        <f t="shared" si="3"/>
        <v>677.71084337349396</v>
      </c>
      <c r="L17" s="254"/>
      <c r="M17" s="318" t="s">
        <v>42</v>
      </c>
      <c r="N17" s="332">
        <v>1</v>
      </c>
      <c r="O17" s="321">
        <f>O11/$N$4</f>
        <v>0.36144578313253012</v>
      </c>
      <c r="P17" s="321">
        <f>+P11/N4</f>
        <v>0.63855421686746983</v>
      </c>
      <c r="Q17" s="321">
        <f>+Q11/$N$4</f>
        <v>0.36746987951807231</v>
      </c>
      <c r="R17" s="321">
        <f>+R11/$N$4</f>
        <v>0.27108433734939757</v>
      </c>
      <c r="S17" s="321"/>
      <c r="T17" s="321"/>
      <c r="U17"/>
    </row>
    <row r="18" spans="1:21" x14ac:dyDescent="0.25">
      <c r="A18" s="258" t="s">
        <v>511</v>
      </c>
      <c r="B18" s="274">
        <v>3000</v>
      </c>
      <c r="C18" s="259"/>
      <c r="D18" s="259"/>
      <c r="E18" s="259">
        <f t="shared" si="1"/>
        <v>3000</v>
      </c>
      <c r="F18" s="338">
        <v>0</v>
      </c>
      <c r="G18" s="294">
        <f t="shared" si="5"/>
        <v>0</v>
      </c>
      <c r="H18" s="284"/>
      <c r="I18" s="285"/>
      <c r="J18" s="289"/>
      <c r="K18" s="299"/>
      <c r="L18" s="254"/>
      <c r="M18" s="318"/>
      <c r="N18" s="318"/>
      <c r="O18" s="318"/>
      <c r="P18" s="318"/>
      <c r="Q18" s="318"/>
      <c r="R18" s="318"/>
      <c r="S18" s="321"/>
      <c r="T18" s="321"/>
      <c r="U18"/>
    </row>
    <row r="19" spans="1:21" x14ac:dyDescent="0.25">
      <c r="A19" s="273" t="s">
        <v>471</v>
      </c>
      <c r="B19" s="274">
        <v>0</v>
      </c>
      <c r="E19" s="259">
        <f t="shared" si="1"/>
        <v>0</v>
      </c>
      <c r="F19" s="338">
        <v>0</v>
      </c>
      <c r="G19" s="294">
        <f t="shared" si="5"/>
        <v>0</v>
      </c>
      <c r="H19" s="284"/>
      <c r="I19" s="285"/>
      <c r="J19" s="289"/>
      <c r="K19" s="299"/>
      <c r="L19" s="254"/>
      <c r="M19" s="318" t="s">
        <v>489</v>
      </c>
      <c r="N19" s="318"/>
      <c r="O19" s="318"/>
      <c r="P19" s="318"/>
      <c r="Q19" s="321">
        <f>+(Q8+Q9)/(N8+N9)</f>
        <v>0.35714285714285715</v>
      </c>
      <c r="R19" s="318"/>
      <c r="S19" s="321"/>
      <c r="T19" s="321"/>
      <c r="U19"/>
    </row>
    <row r="20" spans="1:21" x14ac:dyDescent="0.25">
      <c r="A20" s="273" t="s">
        <v>513</v>
      </c>
      <c r="B20" s="274">
        <v>2000</v>
      </c>
      <c r="E20" s="259">
        <f t="shared" si="1"/>
        <v>2000</v>
      </c>
      <c r="F20" s="338">
        <v>0</v>
      </c>
      <c r="G20" s="294">
        <f t="shared" si="5"/>
        <v>0</v>
      </c>
      <c r="H20" s="284"/>
      <c r="I20" s="285"/>
      <c r="J20" s="289"/>
      <c r="K20" s="299"/>
      <c r="L20" s="254"/>
      <c r="M20" s="318" t="s">
        <v>490</v>
      </c>
      <c r="N20" s="318"/>
      <c r="O20" s="318"/>
      <c r="P20" s="318"/>
      <c r="Q20" s="321">
        <f>+N5/(N5+N6)</f>
        <v>0.82222222222222219</v>
      </c>
      <c r="R20" s="318"/>
      <c r="S20" s="321"/>
      <c r="T20" s="321"/>
      <c r="U20"/>
    </row>
    <row r="21" spans="1:21" x14ac:dyDescent="0.25">
      <c r="A21" s="273" t="s">
        <v>488</v>
      </c>
      <c r="B21" s="274">
        <v>1000</v>
      </c>
      <c r="E21" s="259">
        <f t="shared" si="1"/>
        <v>1000</v>
      </c>
      <c r="F21" s="338">
        <v>0</v>
      </c>
      <c r="G21" s="294">
        <f t="shared" si="5"/>
        <v>0</v>
      </c>
      <c r="H21" s="284"/>
      <c r="I21" s="285"/>
      <c r="J21" s="289"/>
      <c r="K21" s="299"/>
      <c r="L21" s="254"/>
      <c r="M21" s="318"/>
      <c r="N21" s="321"/>
      <c r="O21" s="321"/>
      <c r="P21" s="321"/>
      <c r="Q21" s="321"/>
      <c r="R21" s="321"/>
      <c r="S21" s="321"/>
      <c r="T21" s="321"/>
      <c r="U21"/>
    </row>
    <row r="22" spans="1:21" x14ac:dyDescent="0.25">
      <c r="A22" s="277" t="s">
        <v>42</v>
      </c>
      <c r="B22" s="278">
        <f>SUM(B6:B21)</f>
        <v>144000</v>
      </c>
      <c r="C22" s="278">
        <f>SUM(C6:C21)</f>
        <v>-1000</v>
      </c>
      <c r="D22" s="278">
        <f>SUM(D6:D21)</f>
        <v>-1000</v>
      </c>
      <c r="E22" s="278">
        <f>SUM(E6:E21)</f>
        <v>142000</v>
      </c>
      <c r="F22" s="278"/>
      <c r="G22" s="295">
        <f>SUM(G6:G21)</f>
        <v>91063.855421686749</v>
      </c>
      <c r="H22" s="286">
        <f>SUM(H6:H21)</f>
        <v>62347.85809906292</v>
      </c>
      <c r="I22" s="287">
        <f>SUM(I6:I21)</f>
        <v>28715.997322623829</v>
      </c>
      <c r="J22" s="290">
        <f>SUM(J6:J21)</f>
        <v>14407.998661311914</v>
      </c>
      <c r="K22" s="300">
        <f>SUM(K6:K21)</f>
        <v>14307.998661311914</v>
      </c>
      <c r="L22" s="254"/>
      <c r="M22" s="318"/>
      <c r="N22" s="318"/>
      <c r="O22" s="318"/>
      <c r="P22" s="318"/>
      <c r="Q22" s="318"/>
      <c r="R22" s="318"/>
      <c r="S22" s="318"/>
      <c r="T22" s="318"/>
      <c r="U22"/>
    </row>
    <row r="23" spans="1:21" x14ac:dyDescent="0.25">
      <c r="A23" s="251"/>
      <c r="B23" s="43"/>
      <c r="C23" s="43"/>
      <c r="D23" s="43"/>
      <c r="E23" s="1"/>
      <c r="G23" s="322"/>
      <c r="H23" s="254"/>
      <c r="I23" s="254"/>
      <c r="J23" s="254"/>
      <c r="K23" s="254"/>
      <c r="L23" s="254"/>
      <c r="U23"/>
    </row>
    <row r="24" spans="1:21" x14ac:dyDescent="0.25">
      <c r="B24" s="254"/>
      <c r="C24" s="43"/>
      <c r="E24" s="275" t="s">
        <v>469</v>
      </c>
      <c r="G24" s="274">
        <f>G25*G26</f>
        <v>40250000</v>
      </c>
      <c r="H24" s="254"/>
      <c r="I24" s="254"/>
      <c r="J24" s="254"/>
      <c r="K24" s="254"/>
      <c r="L24" s="254"/>
      <c r="M24" s="307"/>
      <c r="U24"/>
    </row>
    <row r="25" spans="1:21" x14ac:dyDescent="0.25">
      <c r="B25" s="254"/>
      <c r="C25" s="43"/>
      <c r="D25" s="43"/>
      <c r="E25" s="313" t="s">
        <v>505</v>
      </c>
      <c r="G25" s="274">
        <v>17500</v>
      </c>
      <c r="H25" s="254"/>
      <c r="I25" s="254"/>
      <c r="J25" s="254"/>
      <c r="K25" s="254"/>
      <c r="L25" s="254"/>
      <c r="M25" s="307"/>
      <c r="O25" s="308"/>
      <c r="U25"/>
    </row>
    <row r="26" spans="1:21" x14ac:dyDescent="0.25">
      <c r="A26" s="252"/>
      <c r="B26" s="250"/>
      <c r="C26" s="250"/>
      <c r="D26" s="309"/>
      <c r="E26" s="313" t="s">
        <v>507</v>
      </c>
      <c r="F26" s="1"/>
      <c r="G26" s="341">
        <v>2300</v>
      </c>
      <c r="H26" s="254"/>
      <c r="I26" s="254"/>
      <c r="J26" s="254"/>
      <c r="K26" s="254"/>
      <c r="L26" s="254"/>
      <c r="M26" s="307"/>
      <c r="U26"/>
    </row>
    <row r="27" spans="1:21" x14ac:dyDescent="0.25">
      <c r="A27" t="s">
        <v>533</v>
      </c>
      <c r="B27" s="250"/>
      <c r="C27" s="250"/>
      <c r="D27" s="250"/>
      <c r="F27" s="1"/>
      <c r="G27" s="259"/>
      <c r="H27" s="254"/>
      <c r="I27" s="254"/>
      <c r="J27" s="254"/>
      <c r="K27" s="254"/>
      <c r="L27" s="254"/>
      <c r="M27" s="307"/>
      <c r="U27"/>
    </row>
    <row r="28" spans="1:21" x14ac:dyDescent="0.25">
      <c r="E28" s="38" t="s">
        <v>496</v>
      </c>
      <c r="G28" s="260"/>
      <c r="I28" s="254"/>
      <c r="J28" s="254"/>
      <c r="K28" s="254"/>
      <c r="L28" s="254"/>
      <c r="M28" s="307"/>
      <c r="U28"/>
    </row>
    <row r="29" spans="1:21" x14ac:dyDescent="0.25">
      <c r="C29" s="323" t="s">
        <v>524</v>
      </c>
      <c r="E29" s="272" t="s">
        <v>497</v>
      </c>
      <c r="G29" s="259"/>
      <c r="I29" s="254"/>
      <c r="J29" s="254"/>
      <c r="K29" s="305"/>
      <c r="L29" s="254"/>
      <c r="M29" s="307"/>
      <c r="U29"/>
    </row>
    <row r="30" spans="1:21" x14ac:dyDescent="0.25">
      <c r="C30" s="324">
        <f>I22/G22</f>
        <v>0.31533913416744214</v>
      </c>
      <c r="E30" s="271">
        <f>+J22/(G22-K22)</f>
        <v>0.18771204269522315</v>
      </c>
      <c r="G30" s="260"/>
      <c r="I30" s="254"/>
      <c r="J30" s="254"/>
      <c r="K30" s="254"/>
      <c r="L30" s="254"/>
      <c r="M30" s="307"/>
      <c r="U30"/>
    </row>
    <row r="31" spans="1:21" x14ac:dyDescent="0.25">
      <c r="C31" s="325"/>
      <c r="E31" s="2" t="s">
        <v>498</v>
      </c>
      <c r="G31" s="259"/>
      <c r="I31" s="254"/>
      <c r="J31" s="254"/>
      <c r="K31" s="254"/>
      <c r="L31" s="254"/>
      <c r="M31" s="307"/>
      <c r="U31"/>
    </row>
    <row r="32" spans="1:21" x14ac:dyDescent="0.25">
      <c r="C32" s="326"/>
      <c r="E32" s="2" t="s">
        <v>499</v>
      </c>
      <c r="G32" s="260"/>
      <c r="H32" s="259"/>
      <c r="I32" s="254"/>
      <c r="J32" s="254"/>
      <c r="K32" s="254"/>
      <c r="L32" s="254"/>
      <c r="M32" s="307"/>
      <c r="U32"/>
    </row>
    <row r="33" spans="1:21" x14ac:dyDescent="0.25">
      <c r="C33" s="327">
        <f>G24*C30</f>
        <v>12692400.150239546</v>
      </c>
      <c r="E33" s="314">
        <f>G24*E30</f>
        <v>7555409.7184827318</v>
      </c>
      <c r="G33" s="259"/>
      <c r="I33" s="254"/>
      <c r="J33" s="254"/>
      <c r="K33" s="254"/>
      <c r="L33" s="254"/>
      <c r="M33" s="307"/>
      <c r="U33"/>
    </row>
    <row r="34" spans="1:21" x14ac:dyDescent="0.25">
      <c r="C34" s="325"/>
      <c r="E34" s="2" t="s">
        <v>500</v>
      </c>
      <c r="G34" s="259"/>
      <c r="I34" s="254"/>
      <c r="J34" s="254"/>
      <c r="K34" s="254"/>
      <c r="L34" s="254"/>
      <c r="M34" s="307"/>
      <c r="U34"/>
    </row>
    <row r="35" spans="1:21" x14ac:dyDescent="0.25">
      <c r="C35" s="327">
        <f>C33*0.8</f>
        <v>10153920.120191637</v>
      </c>
      <c r="E35" s="314">
        <f>E33*0.8</f>
        <v>6044327.7747861855</v>
      </c>
      <c r="G35" s="259"/>
      <c r="I35" s="254"/>
      <c r="J35" s="254"/>
      <c r="K35" s="254"/>
      <c r="L35" s="254"/>
      <c r="M35" s="307"/>
      <c r="U35"/>
    </row>
    <row r="36" spans="1:21" x14ac:dyDescent="0.25">
      <c r="C36" s="325"/>
      <c r="E36" s="2" t="s">
        <v>501</v>
      </c>
      <c r="F36" s="272"/>
      <c r="G36" s="260"/>
      <c r="I36" s="254"/>
      <c r="J36" s="254"/>
      <c r="K36" s="254"/>
      <c r="L36" s="254"/>
      <c r="M36" s="307"/>
      <c r="U36"/>
    </row>
    <row r="37" spans="1:21" x14ac:dyDescent="0.25">
      <c r="C37" s="327">
        <f>C35*0.25</f>
        <v>2538480.0300479094</v>
      </c>
      <c r="E37" s="314">
        <f>E35*0.25</f>
        <v>1511081.9436965464</v>
      </c>
      <c r="F37" s="272"/>
      <c r="G37" s="260"/>
      <c r="U37"/>
    </row>
    <row r="38" spans="1:21" x14ac:dyDescent="0.25">
      <c r="C38" s="325"/>
      <c r="U38"/>
    </row>
    <row r="39" spans="1:21" x14ac:dyDescent="0.25">
      <c r="C39" s="325"/>
      <c r="E39" s="2" t="s">
        <v>506</v>
      </c>
      <c r="U39"/>
    </row>
    <row r="40" spans="1:21" x14ac:dyDescent="0.25">
      <c r="C40" s="328">
        <f>G26</f>
        <v>2300</v>
      </c>
      <c r="E40" s="272" t="s">
        <v>507</v>
      </c>
      <c r="G40" s="315">
        <f>G26</f>
        <v>2300</v>
      </c>
      <c r="H40" s="272"/>
      <c r="I40" s="254"/>
      <c r="J40" s="271"/>
      <c r="K40" s="254"/>
      <c r="U40"/>
    </row>
    <row r="41" spans="1:21" x14ac:dyDescent="0.25">
      <c r="C41" s="328">
        <f>C35/G25</f>
        <v>580.22400686809351</v>
      </c>
      <c r="E41" s="272" t="s">
        <v>509</v>
      </c>
      <c r="G41" s="316">
        <f>E35/G25</f>
        <v>345.39015855921059</v>
      </c>
      <c r="H41" s="272"/>
      <c r="I41" s="254"/>
      <c r="J41" s="254"/>
      <c r="K41" s="254"/>
      <c r="U41"/>
    </row>
    <row r="42" spans="1:21" x14ac:dyDescent="0.25">
      <c r="C42" s="328">
        <f>C41*0.25</f>
        <v>145.05600171702338</v>
      </c>
      <c r="E42" s="272" t="s">
        <v>508</v>
      </c>
      <c r="G42" s="316">
        <f>G41*0.25</f>
        <v>86.347539639802648</v>
      </c>
      <c r="U42"/>
    </row>
    <row r="43" spans="1:21" x14ac:dyDescent="0.25">
      <c r="C43" s="329">
        <f>C42/C40</f>
        <v>6.3067826833488425E-2</v>
      </c>
      <c r="E43" s="272" t="s">
        <v>534</v>
      </c>
      <c r="G43" s="271">
        <f>G42/G40</f>
        <v>3.7542408539044628E-2</v>
      </c>
      <c r="K43" s="276"/>
      <c r="U43"/>
    </row>
    <row r="44" spans="1:21" x14ac:dyDescent="0.25">
      <c r="U44"/>
    </row>
    <row r="45" spans="1:21" ht="14.4" x14ac:dyDescent="0.3">
      <c r="A45" s="304"/>
      <c r="U45"/>
    </row>
    <row r="46" spans="1:21" ht="14.4" x14ac:dyDescent="0.3">
      <c r="A46" s="304"/>
      <c r="U46"/>
    </row>
    <row r="47" spans="1:21" x14ac:dyDescent="0.25">
      <c r="U47"/>
    </row>
    <row r="48" spans="1:21" x14ac:dyDescent="0.25">
      <c r="U48"/>
    </row>
    <row r="49" spans="21:21" x14ac:dyDescent="0.25">
      <c r="U49"/>
    </row>
    <row r="50" spans="21:21" x14ac:dyDescent="0.25">
      <c r="U50"/>
    </row>
    <row r="51" spans="21:21" x14ac:dyDescent="0.25">
      <c r="U51"/>
    </row>
    <row r="52" spans="21:21" x14ac:dyDescent="0.25">
      <c r="U52"/>
    </row>
    <row r="53" spans="21:21" x14ac:dyDescent="0.25">
      <c r="U53"/>
    </row>
    <row r="54" spans="21:21" x14ac:dyDescent="0.25">
      <c r="U54"/>
    </row>
    <row r="55" spans="21:21" x14ac:dyDescent="0.25">
      <c r="U55"/>
    </row>
    <row r="56" spans="21:21" x14ac:dyDescent="0.25">
      <c r="U56"/>
    </row>
    <row r="57" spans="21:21" x14ac:dyDescent="0.25">
      <c r="U57"/>
    </row>
    <row r="58" spans="21:21" x14ac:dyDescent="0.25">
      <c r="U58"/>
    </row>
    <row r="59" spans="21:21" x14ac:dyDescent="0.25">
      <c r="U59"/>
    </row>
    <row r="60" spans="21:21" x14ac:dyDescent="0.25">
      <c r="U60"/>
    </row>
    <row r="61" spans="21:21" x14ac:dyDescent="0.25">
      <c r="U61"/>
    </row>
    <row r="62" spans="21:21" x14ac:dyDescent="0.25">
      <c r="U62"/>
    </row>
    <row r="63" spans="21:21" x14ac:dyDescent="0.25">
      <c r="U63"/>
    </row>
    <row r="64" spans="21:21"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row r="123" spans="21:21" x14ac:dyDescent="0.25">
      <c r="U123"/>
    </row>
    <row r="124" spans="21:21" x14ac:dyDescent="0.25">
      <c r="U124"/>
    </row>
    <row r="125" spans="21:21" x14ac:dyDescent="0.25">
      <c r="U125"/>
    </row>
    <row r="126" spans="21:21" x14ac:dyDescent="0.25">
      <c r="U126"/>
    </row>
    <row r="127" spans="21:21" x14ac:dyDescent="0.25">
      <c r="U127"/>
    </row>
    <row r="128" spans="21:21" x14ac:dyDescent="0.25">
      <c r="U128"/>
    </row>
    <row r="129" spans="21:21" x14ac:dyDescent="0.25">
      <c r="U129"/>
    </row>
    <row r="130" spans="21:21" x14ac:dyDescent="0.25">
      <c r="U130"/>
    </row>
    <row r="131" spans="21:21" x14ac:dyDescent="0.25">
      <c r="U131"/>
    </row>
    <row r="132" spans="21:21" x14ac:dyDescent="0.25">
      <c r="U132"/>
    </row>
    <row r="133" spans="21:21" x14ac:dyDescent="0.25">
      <c r="U133"/>
    </row>
    <row r="134" spans="21:21" x14ac:dyDescent="0.25">
      <c r="U134"/>
    </row>
    <row r="135" spans="21:21" x14ac:dyDescent="0.25">
      <c r="U135"/>
    </row>
    <row r="136" spans="21:21" x14ac:dyDescent="0.25">
      <c r="U136"/>
    </row>
    <row r="137" spans="21:21" x14ac:dyDescent="0.25">
      <c r="U137"/>
    </row>
    <row r="138" spans="21:21" x14ac:dyDescent="0.25">
      <c r="U138"/>
    </row>
    <row r="139" spans="21:21" x14ac:dyDescent="0.25">
      <c r="U139"/>
    </row>
    <row r="140" spans="21:21" x14ac:dyDescent="0.25">
      <c r="U140"/>
    </row>
    <row r="141" spans="21:21" x14ac:dyDescent="0.25">
      <c r="U141"/>
    </row>
    <row r="142" spans="21:21" x14ac:dyDescent="0.25">
      <c r="U142"/>
    </row>
    <row r="143" spans="21:21" x14ac:dyDescent="0.25">
      <c r="U143"/>
    </row>
    <row r="144" spans="21:21" x14ac:dyDescent="0.25">
      <c r="U144"/>
    </row>
    <row r="145" spans="21:21" x14ac:dyDescent="0.25">
      <c r="U145"/>
    </row>
    <row r="146" spans="21:21" x14ac:dyDescent="0.25">
      <c r="U146"/>
    </row>
    <row r="147" spans="21:21" x14ac:dyDescent="0.25">
      <c r="U147"/>
    </row>
    <row r="148" spans="21:21" x14ac:dyDescent="0.25">
      <c r="U148"/>
    </row>
    <row r="149" spans="21:21" x14ac:dyDescent="0.25">
      <c r="U149"/>
    </row>
    <row r="150" spans="21:21" x14ac:dyDescent="0.25">
      <c r="U150"/>
    </row>
    <row r="151" spans="21:21" x14ac:dyDescent="0.25">
      <c r="U151"/>
    </row>
    <row r="152" spans="21:21" x14ac:dyDescent="0.25">
      <c r="U152"/>
    </row>
    <row r="153" spans="21:21" x14ac:dyDescent="0.25">
      <c r="U153"/>
    </row>
    <row r="154" spans="21:21" x14ac:dyDescent="0.25">
      <c r="U154"/>
    </row>
    <row r="155" spans="21:21" x14ac:dyDescent="0.25">
      <c r="U155"/>
    </row>
    <row r="156" spans="21:21" x14ac:dyDescent="0.25">
      <c r="U156"/>
    </row>
    <row r="157" spans="21:21" x14ac:dyDescent="0.25">
      <c r="U157"/>
    </row>
    <row r="158" spans="21:21" x14ac:dyDescent="0.25">
      <c r="U158"/>
    </row>
    <row r="159" spans="21:21" x14ac:dyDescent="0.25">
      <c r="U159"/>
    </row>
    <row r="160" spans="21:21" x14ac:dyDescent="0.25">
      <c r="U160"/>
    </row>
    <row r="161" spans="21:21" x14ac:dyDescent="0.25">
      <c r="U161"/>
    </row>
    <row r="162" spans="21:21" x14ac:dyDescent="0.25">
      <c r="U162"/>
    </row>
    <row r="163" spans="21:21" x14ac:dyDescent="0.25">
      <c r="U163"/>
    </row>
    <row r="164" spans="21:21" x14ac:dyDescent="0.25">
      <c r="U164"/>
    </row>
    <row r="165" spans="21:21" x14ac:dyDescent="0.25">
      <c r="U165"/>
    </row>
    <row r="166" spans="21:21" x14ac:dyDescent="0.25">
      <c r="U166"/>
    </row>
    <row r="167" spans="21:21" x14ac:dyDescent="0.25">
      <c r="U167"/>
    </row>
    <row r="168" spans="21:21" x14ac:dyDescent="0.25">
      <c r="U168"/>
    </row>
    <row r="169" spans="21:21" x14ac:dyDescent="0.25">
      <c r="U169"/>
    </row>
    <row r="170" spans="21:21" x14ac:dyDescent="0.25">
      <c r="U170"/>
    </row>
    <row r="171" spans="21:21" x14ac:dyDescent="0.25">
      <c r="U171"/>
    </row>
    <row r="172" spans="21:21" x14ac:dyDescent="0.25">
      <c r="U172"/>
    </row>
    <row r="173" spans="21:21" x14ac:dyDescent="0.25">
      <c r="U173"/>
    </row>
    <row r="174" spans="21:21" x14ac:dyDescent="0.25">
      <c r="U174"/>
    </row>
    <row r="175" spans="21:21" x14ac:dyDescent="0.25">
      <c r="U175"/>
    </row>
    <row r="176" spans="21:21" x14ac:dyDescent="0.25">
      <c r="U176"/>
    </row>
    <row r="177" spans="21:21" x14ac:dyDescent="0.25">
      <c r="U177"/>
    </row>
    <row r="178" spans="21:21" x14ac:dyDescent="0.25">
      <c r="U178"/>
    </row>
    <row r="179" spans="21:21" x14ac:dyDescent="0.25">
      <c r="U179"/>
    </row>
    <row r="180" spans="21:21" x14ac:dyDescent="0.25">
      <c r="U180"/>
    </row>
    <row r="181" spans="21:21" x14ac:dyDescent="0.25">
      <c r="U181"/>
    </row>
    <row r="182" spans="21:21" x14ac:dyDescent="0.25">
      <c r="U182"/>
    </row>
    <row r="183" spans="21:21" x14ac:dyDescent="0.25">
      <c r="U183"/>
    </row>
    <row r="184" spans="21:21" x14ac:dyDescent="0.25">
      <c r="U184"/>
    </row>
    <row r="185" spans="21:21" x14ac:dyDescent="0.25">
      <c r="U185"/>
    </row>
    <row r="186" spans="21:21" x14ac:dyDescent="0.25">
      <c r="U186"/>
    </row>
    <row r="187" spans="21:21" x14ac:dyDescent="0.25">
      <c r="U187"/>
    </row>
    <row r="188" spans="21:21" x14ac:dyDescent="0.25">
      <c r="U188"/>
    </row>
    <row r="189" spans="21:21" x14ac:dyDescent="0.25">
      <c r="U189"/>
    </row>
    <row r="190" spans="21:21" x14ac:dyDescent="0.25">
      <c r="U190"/>
    </row>
    <row r="191" spans="21:21" x14ac:dyDescent="0.25">
      <c r="U191"/>
    </row>
    <row r="192" spans="21:21" x14ac:dyDescent="0.25">
      <c r="U192"/>
    </row>
    <row r="193" spans="21:21" x14ac:dyDescent="0.25">
      <c r="U193"/>
    </row>
    <row r="194" spans="21:21" x14ac:dyDescent="0.25">
      <c r="U194"/>
    </row>
    <row r="195" spans="21:21" x14ac:dyDescent="0.25">
      <c r="U195"/>
    </row>
    <row r="196" spans="21:21" x14ac:dyDescent="0.25">
      <c r="U196"/>
    </row>
    <row r="197" spans="21:21" x14ac:dyDescent="0.25">
      <c r="U197"/>
    </row>
    <row r="198" spans="21:21" x14ac:dyDescent="0.25">
      <c r="U198"/>
    </row>
    <row r="199" spans="21:21" x14ac:dyDescent="0.25">
      <c r="U199"/>
    </row>
    <row r="200" spans="21:21" x14ac:dyDescent="0.25">
      <c r="U200"/>
    </row>
    <row r="201" spans="21:21" x14ac:dyDescent="0.25">
      <c r="U201"/>
    </row>
    <row r="202" spans="21:21" x14ac:dyDescent="0.25">
      <c r="U202"/>
    </row>
    <row r="203" spans="21:21" x14ac:dyDescent="0.25">
      <c r="U203"/>
    </row>
    <row r="204" spans="21:21" x14ac:dyDescent="0.25">
      <c r="U204"/>
    </row>
    <row r="205" spans="21:21" x14ac:dyDescent="0.25">
      <c r="U205"/>
    </row>
    <row r="206" spans="21:21" x14ac:dyDescent="0.25">
      <c r="U206"/>
    </row>
    <row r="207" spans="21:21" x14ac:dyDescent="0.25">
      <c r="U207"/>
    </row>
    <row r="208" spans="21:21" x14ac:dyDescent="0.25">
      <c r="U208"/>
    </row>
    <row r="209" spans="21:21" x14ac:dyDescent="0.25">
      <c r="U209"/>
    </row>
    <row r="210" spans="21:21" x14ac:dyDescent="0.25">
      <c r="U210"/>
    </row>
    <row r="211" spans="21:21" x14ac:dyDescent="0.25">
      <c r="U211"/>
    </row>
    <row r="212" spans="21:21" x14ac:dyDescent="0.25">
      <c r="U212"/>
    </row>
    <row r="213" spans="21:21" x14ac:dyDescent="0.25">
      <c r="U213"/>
    </row>
    <row r="214" spans="21:21" x14ac:dyDescent="0.25">
      <c r="U214"/>
    </row>
    <row r="215" spans="21:21" x14ac:dyDescent="0.25">
      <c r="U215"/>
    </row>
    <row r="216" spans="21:21" x14ac:dyDescent="0.25">
      <c r="U216"/>
    </row>
    <row r="217" spans="21:21" x14ac:dyDescent="0.25">
      <c r="U217"/>
    </row>
    <row r="218" spans="21:21" x14ac:dyDescent="0.25">
      <c r="U218"/>
    </row>
    <row r="219" spans="21:21" x14ac:dyDescent="0.25">
      <c r="U219"/>
    </row>
    <row r="220" spans="21:21" x14ac:dyDescent="0.25">
      <c r="U220"/>
    </row>
    <row r="221" spans="21:21" x14ac:dyDescent="0.25">
      <c r="U221"/>
    </row>
    <row r="222" spans="21:21" x14ac:dyDescent="0.25">
      <c r="U222"/>
    </row>
    <row r="223" spans="21:21" x14ac:dyDescent="0.25">
      <c r="U223"/>
    </row>
    <row r="224" spans="21:21" x14ac:dyDescent="0.25">
      <c r="U224"/>
    </row>
    <row r="225" spans="21:21" x14ac:dyDescent="0.25">
      <c r="U225"/>
    </row>
    <row r="226" spans="21:21" x14ac:dyDescent="0.25">
      <c r="U226"/>
    </row>
    <row r="227" spans="21:21" x14ac:dyDescent="0.25">
      <c r="U227"/>
    </row>
    <row r="228" spans="21:21" x14ac:dyDescent="0.25">
      <c r="U228"/>
    </row>
    <row r="229" spans="21:21" x14ac:dyDescent="0.25">
      <c r="U229"/>
    </row>
    <row r="230" spans="21:21" x14ac:dyDescent="0.25">
      <c r="U230"/>
    </row>
    <row r="231" spans="21:21" x14ac:dyDescent="0.25">
      <c r="U231"/>
    </row>
    <row r="232" spans="21:21" x14ac:dyDescent="0.25">
      <c r="U232"/>
    </row>
    <row r="233" spans="21:21" x14ac:dyDescent="0.25">
      <c r="U233"/>
    </row>
    <row r="234" spans="21:21" x14ac:dyDescent="0.25">
      <c r="U234"/>
    </row>
    <row r="235" spans="21:21" x14ac:dyDescent="0.25">
      <c r="U235"/>
    </row>
    <row r="236" spans="21:21" x14ac:dyDescent="0.25">
      <c r="U236"/>
    </row>
    <row r="237" spans="21:21" x14ac:dyDescent="0.25">
      <c r="U237"/>
    </row>
    <row r="238" spans="21:21" x14ac:dyDescent="0.25">
      <c r="U238"/>
    </row>
    <row r="239" spans="21:21" x14ac:dyDescent="0.25">
      <c r="U239"/>
    </row>
    <row r="240" spans="21:21" x14ac:dyDescent="0.25">
      <c r="U240"/>
    </row>
    <row r="241" spans="21:21" x14ac:dyDescent="0.25">
      <c r="U241"/>
    </row>
    <row r="242" spans="21:21" x14ac:dyDescent="0.25">
      <c r="U242"/>
    </row>
    <row r="243" spans="21:21" x14ac:dyDescent="0.25">
      <c r="U243"/>
    </row>
    <row r="244" spans="21:21" x14ac:dyDescent="0.25">
      <c r="U244"/>
    </row>
    <row r="245" spans="21:21" x14ac:dyDescent="0.25">
      <c r="U245"/>
    </row>
    <row r="246" spans="21:21" x14ac:dyDescent="0.25">
      <c r="U246"/>
    </row>
    <row r="247" spans="21:21" x14ac:dyDescent="0.25">
      <c r="U247"/>
    </row>
    <row r="248" spans="21:21" x14ac:dyDescent="0.25">
      <c r="U248"/>
    </row>
    <row r="249" spans="21:21" x14ac:dyDescent="0.25">
      <c r="U249"/>
    </row>
    <row r="250" spans="21:21" x14ac:dyDescent="0.25">
      <c r="U250"/>
    </row>
    <row r="251" spans="21:21" x14ac:dyDescent="0.25">
      <c r="U251"/>
    </row>
    <row r="252" spans="21:21" x14ac:dyDescent="0.25">
      <c r="U252"/>
    </row>
    <row r="253" spans="21:21" x14ac:dyDescent="0.25">
      <c r="U253"/>
    </row>
    <row r="254" spans="21:21" x14ac:dyDescent="0.25">
      <c r="U254"/>
    </row>
    <row r="255" spans="21:21" x14ac:dyDescent="0.25">
      <c r="U255"/>
    </row>
    <row r="256" spans="21:21" x14ac:dyDescent="0.25">
      <c r="U256"/>
    </row>
    <row r="257" spans="21:21" x14ac:dyDescent="0.25">
      <c r="U257"/>
    </row>
    <row r="258" spans="21:21" x14ac:dyDescent="0.25">
      <c r="U258"/>
    </row>
    <row r="259" spans="21:21" x14ac:dyDescent="0.25">
      <c r="U259"/>
    </row>
    <row r="260" spans="21:21" x14ac:dyDescent="0.25">
      <c r="U260"/>
    </row>
    <row r="261" spans="21:21" x14ac:dyDescent="0.25">
      <c r="U261"/>
    </row>
    <row r="262" spans="21:21" x14ac:dyDescent="0.25">
      <c r="U262"/>
    </row>
    <row r="263" spans="21:21" x14ac:dyDescent="0.25">
      <c r="U263"/>
    </row>
    <row r="264" spans="21:21" x14ac:dyDescent="0.25">
      <c r="U264"/>
    </row>
    <row r="265" spans="21:21" x14ac:dyDescent="0.25">
      <c r="U265"/>
    </row>
    <row r="266" spans="21:21" x14ac:dyDescent="0.25">
      <c r="U266"/>
    </row>
    <row r="267" spans="21:21" x14ac:dyDescent="0.25">
      <c r="U267"/>
    </row>
    <row r="268" spans="21:21" x14ac:dyDescent="0.25">
      <c r="U268"/>
    </row>
    <row r="269" spans="21:21" x14ac:dyDescent="0.25">
      <c r="U269"/>
    </row>
    <row r="270" spans="21:21" x14ac:dyDescent="0.25">
      <c r="U270"/>
    </row>
    <row r="271" spans="21:21" x14ac:dyDescent="0.25">
      <c r="U271"/>
    </row>
    <row r="272" spans="21:21" x14ac:dyDescent="0.25">
      <c r="U272"/>
    </row>
    <row r="273" spans="21:21" x14ac:dyDescent="0.25">
      <c r="U273"/>
    </row>
    <row r="274" spans="21:21" x14ac:dyDescent="0.25">
      <c r="U274"/>
    </row>
    <row r="275" spans="21:21" x14ac:dyDescent="0.25">
      <c r="U275"/>
    </row>
    <row r="276" spans="21:21" x14ac:dyDescent="0.25">
      <c r="U276"/>
    </row>
    <row r="277" spans="21:21" x14ac:dyDescent="0.25">
      <c r="U277"/>
    </row>
    <row r="278" spans="21:21" x14ac:dyDescent="0.25">
      <c r="U278"/>
    </row>
    <row r="279" spans="21:21" x14ac:dyDescent="0.25">
      <c r="U279"/>
    </row>
    <row r="280" spans="21:21" x14ac:dyDescent="0.25">
      <c r="U280"/>
    </row>
    <row r="281" spans="21:21" x14ac:dyDescent="0.25">
      <c r="U281"/>
    </row>
    <row r="282" spans="21:21" x14ac:dyDescent="0.25">
      <c r="U282"/>
    </row>
    <row r="283" spans="21:21" x14ac:dyDescent="0.25">
      <c r="U283"/>
    </row>
    <row r="284" spans="21:21" x14ac:dyDescent="0.25">
      <c r="U284"/>
    </row>
    <row r="285" spans="21:21" x14ac:dyDescent="0.25">
      <c r="U285"/>
    </row>
    <row r="286" spans="21:21" x14ac:dyDescent="0.25">
      <c r="U286"/>
    </row>
    <row r="287" spans="21:21" x14ac:dyDescent="0.25">
      <c r="U287"/>
    </row>
    <row r="288" spans="21:21" x14ac:dyDescent="0.25">
      <c r="U288"/>
    </row>
    <row r="289" spans="21:21" x14ac:dyDescent="0.25">
      <c r="U289"/>
    </row>
    <row r="290" spans="21:21" x14ac:dyDescent="0.25">
      <c r="U290"/>
    </row>
    <row r="291" spans="21:21" x14ac:dyDescent="0.25">
      <c r="U291"/>
    </row>
    <row r="292" spans="21:21" x14ac:dyDescent="0.25">
      <c r="U292"/>
    </row>
    <row r="293" spans="21:21" x14ac:dyDescent="0.25">
      <c r="U293"/>
    </row>
    <row r="294" spans="21:21" x14ac:dyDescent="0.25">
      <c r="U294"/>
    </row>
    <row r="295" spans="21:21" x14ac:dyDescent="0.25">
      <c r="U295"/>
    </row>
    <row r="296" spans="21:21" x14ac:dyDescent="0.25">
      <c r="U296"/>
    </row>
    <row r="297" spans="21:21" x14ac:dyDescent="0.25">
      <c r="U297"/>
    </row>
    <row r="298" spans="21:21" x14ac:dyDescent="0.25">
      <c r="U298"/>
    </row>
    <row r="299" spans="21:21" x14ac:dyDescent="0.25">
      <c r="U299"/>
    </row>
    <row r="300" spans="21:21" x14ac:dyDescent="0.25">
      <c r="U300"/>
    </row>
    <row r="301" spans="21:21" x14ac:dyDescent="0.25">
      <c r="U301"/>
    </row>
    <row r="302" spans="21:21" x14ac:dyDescent="0.25">
      <c r="U302"/>
    </row>
    <row r="303" spans="21:21" x14ac:dyDescent="0.25">
      <c r="U303"/>
    </row>
    <row r="304" spans="21:21" x14ac:dyDescent="0.25">
      <c r="U304"/>
    </row>
    <row r="305" spans="21:21" x14ac:dyDescent="0.25">
      <c r="U305"/>
    </row>
    <row r="306" spans="21:21" x14ac:dyDescent="0.25">
      <c r="U306"/>
    </row>
    <row r="307" spans="21:21" x14ac:dyDescent="0.25">
      <c r="U307"/>
    </row>
    <row r="308" spans="21:21" x14ac:dyDescent="0.25">
      <c r="U308"/>
    </row>
    <row r="309" spans="21:21" x14ac:dyDescent="0.25">
      <c r="U309"/>
    </row>
    <row r="310" spans="21:21" x14ac:dyDescent="0.25">
      <c r="U310"/>
    </row>
    <row r="311" spans="21:21" x14ac:dyDescent="0.25">
      <c r="U311"/>
    </row>
    <row r="312" spans="21:21" x14ac:dyDescent="0.25">
      <c r="U312"/>
    </row>
    <row r="313" spans="21:21" x14ac:dyDescent="0.25">
      <c r="U313"/>
    </row>
    <row r="314" spans="21:21" x14ac:dyDescent="0.25">
      <c r="U314"/>
    </row>
    <row r="315" spans="21:21" x14ac:dyDescent="0.25">
      <c r="U315"/>
    </row>
    <row r="316" spans="21:21" x14ac:dyDescent="0.25">
      <c r="U316"/>
    </row>
    <row r="317" spans="21:21" x14ac:dyDescent="0.25">
      <c r="U317"/>
    </row>
    <row r="318" spans="21:21" x14ac:dyDescent="0.25">
      <c r="U318"/>
    </row>
    <row r="319" spans="21:21" x14ac:dyDescent="0.25">
      <c r="U319"/>
    </row>
    <row r="320" spans="21:21" x14ac:dyDescent="0.25">
      <c r="U320"/>
    </row>
    <row r="321" spans="21:21" x14ac:dyDescent="0.25">
      <c r="U321"/>
    </row>
    <row r="322" spans="21:21" x14ac:dyDescent="0.25">
      <c r="U322"/>
    </row>
    <row r="323" spans="21:21" x14ac:dyDescent="0.25">
      <c r="U323"/>
    </row>
    <row r="324" spans="21:21" x14ac:dyDescent="0.25">
      <c r="U324"/>
    </row>
    <row r="325" spans="21:21" x14ac:dyDescent="0.25">
      <c r="U325"/>
    </row>
    <row r="326" spans="21:21" x14ac:dyDescent="0.25">
      <c r="U326"/>
    </row>
    <row r="327" spans="21:21" x14ac:dyDescent="0.25">
      <c r="U327"/>
    </row>
    <row r="328" spans="21:21" x14ac:dyDescent="0.25">
      <c r="U328"/>
    </row>
    <row r="329" spans="21:21" x14ac:dyDescent="0.25">
      <c r="U329"/>
    </row>
    <row r="330" spans="21:21" x14ac:dyDescent="0.25">
      <c r="U330"/>
    </row>
    <row r="331" spans="21:21" x14ac:dyDescent="0.25">
      <c r="U331"/>
    </row>
    <row r="332" spans="21:21" x14ac:dyDescent="0.25">
      <c r="U332"/>
    </row>
    <row r="333" spans="21:21" x14ac:dyDescent="0.25">
      <c r="U333"/>
    </row>
    <row r="334" spans="21:21" x14ac:dyDescent="0.25">
      <c r="U334"/>
    </row>
    <row r="335" spans="21:21" x14ac:dyDescent="0.25">
      <c r="U335"/>
    </row>
    <row r="336" spans="21:21" x14ac:dyDescent="0.25">
      <c r="U336"/>
    </row>
    <row r="337" spans="21:21" x14ac:dyDescent="0.25">
      <c r="U337"/>
    </row>
    <row r="338" spans="21:21" x14ac:dyDescent="0.25">
      <c r="U338"/>
    </row>
    <row r="339" spans="21:21" x14ac:dyDescent="0.25">
      <c r="U339"/>
    </row>
    <row r="340" spans="21:21" x14ac:dyDescent="0.25">
      <c r="U340"/>
    </row>
    <row r="341" spans="21:21" x14ac:dyDescent="0.25">
      <c r="U341"/>
    </row>
    <row r="342" spans="21:21" x14ac:dyDescent="0.25">
      <c r="U342"/>
    </row>
    <row r="343" spans="21:21" x14ac:dyDescent="0.25">
      <c r="U343"/>
    </row>
    <row r="344" spans="21:21" x14ac:dyDescent="0.25">
      <c r="U344"/>
    </row>
    <row r="345" spans="21:21" x14ac:dyDescent="0.25">
      <c r="U345"/>
    </row>
    <row r="346" spans="21:21" x14ac:dyDescent="0.25">
      <c r="U346"/>
    </row>
    <row r="347" spans="21:21" x14ac:dyDescent="0.25">
      <c r="U347"/>
    </row>
    <row r="348" spans="21:21" x14ac:dyDescent="0.25">
      <c r="U348"/>
    </row>
    <row r="349" spans="21:21" x14ac:dyDescent="0.25">
      <c r="U349"/>
    </row>
    <row r="350" spans="21:21" x14ac:dyDescent="0.25">
      <c r="U350"/>
    </row>
    <row r="351" spans="21:21" x14ac:dyDescent="0.25">
      <c r="U351"/>
    </row>
    <row r="352" spans="21:21" x14ac:dyDescent="0.25">
      <c r="U352"/>
    </row>
    <row r="353" spans="21:21" x14ac:dyDescent="0.25">
      <c r="U353"/>
    </row>
    <row r="354" spans="21:21" x14ac:dyDescent="0.25">
      <c r="U354"/>
    </row>
    <row r="355" spans="21:21" x14ac:dyDescent="0.25">
      <c r="U355"/>
    </row>
    <row r="356" spans="21:21" x14ac:dyDescent="0.25">
      <c r="U356"/>
    </row>
    <row r="357" spans="21:21" x14ac:dyDescent="0.25">
      <c r="U357"/>
    </row>
    <row r="358" spans="21:21" x14ac:dyDescent="0.25">
      <c r="U358"/>
    </row>
    <row r="359" spans="21:21" x14ac:dyDescent="0.25">
      <c r="U359"/>
    </row>
    <row r="360" spans="21:21" x14ac:dyDescent="0.25">
      <c r="U360"/>
    </row>
    <row r="361" spans="21:21" x14ac:dyDescent="0.25">
      <c r="U361"/>
    </row>
    <row r="362" spans="21:21" x14ac:dyDescent="0.25">
      <c r="U362"/>
    </row>
    <row r="363" spans="21:21" x14ac:dyDescent="0.25">
      <c r="U363"/>
    </row>
    <row r="364" spans="21:21" x14ac:dyDescent="0.25">
      <c r="U364"/>
    </row>
    <row r="365" spans="21:21" x14ac:dyDescent="0.25">
      <c r="U365"/>
    </row>
    <row r="366" spans="21:21" x14ac:dyDescent="0.25">
      <c r="U366"/>
    </row>
    <row r="367" spans="21:21" x14ac:dyDescent="0.25">
      <c r="U367"/>
    </row>
    <row r="368" spans="21:21" x14ac:dyDescent="0.25">
      <c r="U368"/>
    </row>
    <row r="369" spans="21:21" x14ac:dyDescent="0.25">
      <c r="U369"/>
    </row>
    <row r="370" spans="21:21" x14ac:dyDescent="0.25">
      <c r="U370"/>
    </row>
    <row r="371" spans="21:21" x14ac:dyDescent="0.25">
      <c r="U371"/>
    </row>
    <row r="372" spans="21:21" x14ac:dyDescent="0.25">
      <c r="U372"/>
    </row>
    <row r="373" spans="21:21" x14ac:dyDescent="0.25">
      <c r="U373"/>
    </row>
    <row r="374" spans="21:21" x14ac:dyDescent="0.25">
      <c r="U374"/>
    </row>
    <row r="375" spans="21:21" x14ac:dyDescent="0.25">
      <c r="U375"/>
    </row>
    <row r="376" spans="21:21" x14ac:dyDescent="0.25">
      <c r="U376"/>
    </row>
    <row r="377" spans="21:21" x14ac:dyDescent="0.25">
      <c r="U377"/>
    </row>
    <row r="378" spans="21:21" x14ac:dyDescent="0.25">
      <c r="U378"/>
    </row>
    <row r="379" spans="21:21" x14ac:dyDescent="0.25">
      <c r="U379"/>
    </row>
    <row r="380" spans="21:21" x14ac:dyDescent="0.25">
      <c r="U380"/>
    </row>
    <row r="381" spans="21:21" x14ac:dyDescent="0.25">
      <c r="U381"/>
    </row>
    <row r="382" spans="21:21" x14ac:dyDescent="0.25">
      <c r="U382"/>
    </row>
    <row r="383" spans="21:21" x14ac:dyDescent="0.25">
      <c r="U383"/>
    </row>
    <row r="384" spans="21:21" x14ac:dyDescent="0.25">
      <c r="U384"/>
    </row>
    <row r="385" spans="21:21" x14ac:dyDescent="0.25">
      <c r="U385"/>
    </row>
    <row r="386" spans="21:21" x14ac:dyDescent="0.25">
      <c r="U386"/>
    </row>
    <row r="387" spans="21:21" x14ac:dyDescent="0.25">
      <c r="U387"/>
    </row>
    <row r="388" spans="21:21" x14ac:dyDescent="0.25">
      <c r="U388"/>
    </row>
    <row r="389" spans="21:21" x14ac:dyDescent="0.25">
      <c r="U389"/>
    </row>
    <row r="390" spans="21:21" x14ac:dyDescent="0.25">
      <c r="U390"/>
    </row>
    <row r="391" spans="21:21" x14ac:dyDescent="0.25">
      <c r="U391"/>
    </row>
    <row r="392" spans="21:21" x14ac:dyDescent="0.25">
      <c r="U392"/>
    </row>
    <row r="393" spans="21:21" x14ac:dyDescent="0.25">
      <c r="U393"/>
    </row>
    <row r="394" spans="21:21" x14ac:dyDescent="0.25">
      <c r="U394"/>
    </row>
    <row r="395" spans="21:21" x14ac:dyDescent="0.25">
      <c r="U395"/>
    </row>
    <row r="396" spans="21:21" x14ac:dyDescent="0.25">
      <c r="U396"/>
    </row>
    <row r="397" spans="21:21" x14ac:dyDescent="0.25">
      <c r="U397"/>
    </row>
    <row r="398" spans="21:21" x14ac:dyDescent="0.25">
      <c r="U398"/>
    </row>
    <row r="399" spans="21:21" x14ac:dyDescent="0.25">
      <c r="U399"/>
    </row>
    <row r="400" spans="21:21" x14ac:dyDescent="0.25">
      <c r="U400"/>
    </row>
    <row r="401" spans="21:21" x14ac:dyDescent="0.25">
      <c r="U401"/>
    </row>
    <row r="402" spans="21:21" x14ac:dyDescent="0.25">
      <c r="U402"/>
    </row>
    <row r="403" spans="21:21" x14ac:dyDescent="0.25">
      <c r="U403"/>
    </row>
    <row r="404" spans="21:21" x14ac:dyDescent="0.25">
      <c r="U404"/>
    </row>
    <row r="405" spans="21:21" x14ac:dyDescent="0.25">
      <c r="U405"/>
    </row>
    <row r="406" spans="21:21" x14ac:dyDescent="0.25">
      <c r="U406"/>
    </row>
    <row r="407" spans="21:21" x14ac:dyDescent="0.25">
      <c r="U407"/>
    </row>
    <row r="408" spans="21:21" x14ac:dyDescent="0.25">
      <c r="U408"/>
    </row>
    <row r="409" spans="21:21" x14ac:dyDescent="0.25">
      <c r="U409"/>
    </row>
    <row r="410" spans="21:21" x14ac:dyDescent="0.25">
      <c r="U410"/>
    </row>
    <row r="411" spans="21:21" x14ac:dyDescent="0.25">
      <c r="U411"/>
    </row>
    <row r="412" spans="21:21" x14ac:dyDescent="0.25">
      <c r="U412"/>
    </row>
    <row r="413" spans="21:21" x14ac:dyDescent="0.25">
      <c r="U413"/>
    </row>
    <row r="414" spans="21:21" x14ac:dyDescent="0.25">
      <c r="U414"/>
    </row>
    <row r="415" spans="21:21" x14ac:dyDescent="0.25">
      <c r="U415"/>
    </row>
    <row r="416" spans="21:21" x14ac:dyDescent="0.25">
      <c r="U416"/>
    </row>
    <row r="417" spans="21:21" x14ac:dyDescent="0.25">
      <c r="U417"/>
    </row>
    <row r="418" spans="21:21" x14ac:dyDescent="0.25">
      <c r="U418"/>
    </row>
    <row r="419" spans="21:21" x14ac:dyDescent="0.25">
      <c r="U419"/>
    </row>
    <row r="420" spans="21:21" x14ac:dyDescent="0.25">
      <c r="U420"/>
    </row>
    <row r="421" spans="21:21" x14ac:dyDescent="0.25">
      <c r="U421"/>
    </row>
    <row r="422" spans="21:21" x14ac:dyDescent="0.25">
      <c r="U422"/>
    </row>
    <row r="423" spans="21:21" x14ac:dyDescent="0.25">
      <c r="U423"/>
    </row>
    <row r="424" spans="21:21" x14ac:dyDescent="0.25">
      <c r="U424"/>
    </row>
    <row r="425" spans="21:21" x14ac:dyDescent="0.25">
      <c r="U425"/>
    </row>
    <row r="426" spans="21:21" x14ac:dyDescent="0.25">
      <c r="U426"/>
    </row>
    <row r="427" spans="21:21" x14ac:dyDescent="0.25">
      <c r="U427"/>
    </row>
    <row r="428" spans="21:21" x14ac:dyDescent="0.25">
      <c r="U428"/>
    </row>
    <row r="429" spans="21:21" x14ac:dyDescent="0.25">
      <c r="U429"/>
    </row>
    <row r="430" spans="21:21" x14ac:dyDescent="0.25">
      <c r="U430"/>
    </row>
    <row r="431" spans="21:21" x14ac:dyDescent="0.25">
      <c r="U431"/>
    </row>
    <row r="432" spans="21:21" x14ac:dyDescent="0.25">
      <c r="U432"/>
    </row>
    <row r="433" spans="21:21" x14ac:dyDescent="0.25">
      <c r="U433"/>
    </row>
    <row r="434" spans="21:21" x14ac:dyDescent="0.25">
      <c r="U434"/>
    </row>
    <row r="435" spans="21:21" x14ac:dyDescent="0.25">
      <c r="U435"/>
    </row>
    <row r="436" spans="21:21" x14ac:dyDescent="0.25">
      <c r="U436"/>
    </row>
    <row r="437" spans="21:21" x14ac:dyDescent="0.25">
      <c r="U437"/>
    </row>
    <row r="438" spans="21:21" x14ac:dyDescent="0.25">
      <c r="U438"/>
    </row>
    <row r="439" spans="21:21" x14ac:dyDescent="0.25">
      <c r="U439"/>
    </row>
    <row r="440" spans="21:21" x14ac:dyDescent="0.25">
      <c r="U440"/>
    </row>
    <row r="441" spans="21:21" x14ac:dyDescent="0.25">
      <c r="U441"/>
    </row>
    <row r="442" spans="21:21" x14ac:dyDescent="0.25">
      <c r="U442"/>
    </row>
    <row r="443" spans="21:21" x14ac:dyDescent="0.25">
      <c r="U443"/>
    </row>
    <row r="444" spans="21:21" x14ac:dyDescent="0.25">
      <c r="U444"/>
    </row>
    <row r="445" spans="21:21" x14ac:dyDescent="0.25">
      <c r="U445"/>
    </row>
    <row r="446" spans="21:21" x14ac:dyDescent="0.25">
      <c r="U446"/>
    </row>
    <row r="447" spans="21:21" x14ac:dyDescent="0.25">
      <c r="U447"/>
    </row>
    <row r="448" spans="21:21" x14ac:dyDescent="0.25">
      <c r="U448"/>
    </row>
    <row r="449" spans="21:21" x14ac:dyDescent="0.25">
      <c r="U449"/>
    </row>
    <row r="450" spans="21:21" x14ac:dyDescent="0.25">
      <c r="U450"/>
    </row>
    <row r="451" spans="21:21" x14ac:dyDescent="0.25">
      <c r="U451"/>
    </row>
    <row r="452" spans="21:21" x14ac:dyDescent="0.25">
      <c r="U452"/>
    </row>
    <row r="453" spans="21:21" x14ac:dyDescent="0.25">
      <c r="U453"/>
    </row>
    <row r="454" spans="21:21" x14ac:dyDescent="0.25">
      <c r="U454"/>
    </row>
    <row r="455" spans="21:21" x14ac:dyDescent="0.25">
      <c r="U455"/>
    </row>
    <row r="456" spans="21:21" x14ac:dyDescent="0.25">
      <c r="U456"/>
    </row>
    <row r="457" spans="21:21" x14ac:dyDescent="0.25">
      <c r="U457"/>
    </row>
    <row r="458" spans="21:21" x14ac:dyDescent="0.25">
      <c r="U458"/>
    </row>
    <row r="459" spans="21:21" x14ac:dyDescent="0.25">
      <c r="U459"/>
    </row>
    <row r="460" spans="21:21" x14ac:dyDescent="0.25">
      <c r="U460"/>
    </row>
    <row r="461" spans="21:21" x14ac:dyDescent="0.25">
      <c r="U461"/>
    </row>
    <row r="462" spans="21:21" x14ac:dyDescent="0.25">
      <c r="U462"/>
    </row>
    <row r="463" spans="21:21" x14ac:dyDescent="0.25">
      <c r="U463"/>
    </row>
    <row r="464" spans="21:21" x14ac:dyDescent="0.25">
      <c r="U464"/>
    </row>
    <row r="465" spans="21:21" x14ac:dyDescent="0.25">
      <c r="U465"/>
    </row>
    <row r="466" spans="21:21" x14ac:dyDescent="0.25">
      <c r="U466"/>
    </row>
    <row r="467" spans="21:21" x14ac:dyDescent="0.25">
      <c r="U467"/>
    </row>
    <row r="468" spans="21:21" x14ac:dyDescent="0.25">
      <c r="U468"/>
    </row>
    <row r="469" spans="21:21" x14ac:dyDescent="0.25">
      <c r="U469"/>
    </row>
    <row r="470" spans="21:21" x14ac:dyDescent="0.25">
      <c r="U470"/>
    </row>
    <row r="471" spans="21:21" x14ac:dyDescent="0.25">
      <c r="U471"/>
    </row>
    <row r="472" spans="21:21" x14ac:dyDescent="0.25">
      <c r="U472"/>
    </row>
    <row r="473" spans="21:21" x14ac:dyDescent="0.25">
      <c r="U473"/>
    </row>
    <row r="474" spans="21:21" x14ac:dyDescent="0.25">
      <c r="U474"/>
    </row>
    <row r="475" spans="21:21" x14ac:dyDescent="0.25">
      <c r="U475"/>
    </row>
    <row r="476" spans="21:21" x14ac:dyDescent="0.25">
      <c r="U476"/>
    </row>
    <row r="477" spans="21:21" x14ac:dyDescent="0.25">
      <c r="U477"/>
    </row>
    <row r="478" spans="21:21" x14ac:dyDescent="0.25">
      <c r="U478"/>
    </row>
    <row r="479" spans="21:21" x14ac:dyDescent="0.25">
      <c r="U479"/>
    </row>
    <row r="480" spans="21:21" x14ac:dyDescent="0.25">
      <c r="U480"/>
    </row>
    <row r="481" spans="21:21" x14ac:dyDescent="0.25">
      <c r="U481"/>
    </row>
    <row r="482" spans="21:21" x14ac:dyDescent="0.25">
      <c r="U482"/>
    </row>
    <row r="483" spans="21:21" x14ac:dyDescent="0.25">
      <c r="U483"/>
    </row>
    <row r="484" spans="21:21" x14ac:dyDescent="0.25">
      <c r="U484"/>
    </row>
    <row r="485" spans="21:21" x14ac:dyDescent="0.25">
      <c r="U485"/>
    </row>
    <row r="486" spans="21:21" x14ac:dyDescent="0.25">
      <c r="U486"/>
    </row>
    <row r="487" spans="21:21" x14ac:dyDescent="0.25">
      <c r="U487"/>
    </row>
    <row r="488" spans="21:21" x14ac:dyDescent="0.25">
      <c r="U488"/>
    </row>
    <row r="489" spans="21:21" x14ac:dyDescent="0.25">
      <c r="U489"/>
    </row>
    <row r="490" spans="21:21" x14ac:dyDescent="0.25">
      <c r="U490"/>
    </row>
    <row r="491" spans="21:21" x14ac:dyDescent="0.25">
      <c r="U491"/>
    </row>
    <row r="492" spans="21:21" x14ac:dyDescent="0.25">
      <c r="U492"/>
    </row>
    <row r="493" spans="21:21" x14ac:dyDescent="0.25">
      <c r="U493"/>
    </row>
    <row r="494" spans="21:21" x14ac:dyDescent="0.25">
      <c r="U494"/>
    </row>
    <row r="495" spans="21:21" x14ac:dyDescent="0.25">
      <c r="U495"/>
    </row>
    <row r="496" spans="21:21" x14ac:dyDescent="0.25">
      <c r="U496"/>
    </row>
    <row r="497" spans="21:21" x14ac:dyDescent="0.25">
      <c r="U497"/>
    </row>
    <row r="498" spans="21:21" x14ac:dyDescent="0.25">
      <c r="U498"/>
    </row>
    <row r="499" spans="21:21" x14ac:dyDescent="0.25">
      <c r="U499"/>
    </row>
    <row r="500" spans="21:21" x14ac:dyDescent="0.25">
      <c r="U500"/>
    </row>
    <row r="501" spans="21:21" x14ac:dyDescent="0.25">
      <c r="U501"/>
    </row>
    <row r="502" spans="21:21" x14ac:dyDescent="0.25">
      <c r="U502"/>
    </row>
    <row r="503" spans="21:21" x14ac:dyDescent="0.25">
      <c r="U503"/>
    </row>
    <row r="504" spans="21:21" x14ac:dyDescent="0.25">
      <c r="U504"/>
    </row>
    <row r="505" spans="21:21" x14ac:dyDescent="0.25">
      <c r="U505"/>
    </row>
    <row r="506" spans="21:21" x14ac:dyDescent="0.25">
      <c r="U506"/>
    </row>
    <row r="507" spans="21:21" x14ac:dyDescent="0.25">
      <c r="U507"/>
    </row>
    <row r="508" spans="21:21" x14ac:dyDescent="0.25">
      <c r="U508"/>
    </row>
    <row r="509" spans="21:21" x14ac:dyDescent="0.25">
      <c r="U509"/>
    </row>
    <row r="510" spans="21:21" x14ac:dyDescent="0.25">
      <c r="U510"/>
    </row>
    <row r="511" spans="21:21" x14ac:dyDescent="0.25">
      <c r="U511"/>
    </row>
    <row r="512" spans="21:21" x14ac:dyDescent="0.25">
      <c r="U512"/>
    </row>
    <row r="513" spans="21:21" x14ac:dyDescent="0.25">
      <c r="U513"/>
    </row>
    <row r="514" spans="21:21" x14ac:dyDescent="0.25">
      <c r="U514"/>
    </row>
    <row r="515" spans="21:21" x14ac:dyDescent="0.25">
      <c r="U515"/>
    </row>
    <row r="516" spans="21:21" x14ac:dyDescent="0.25">
      <c r="U516"/>
    </row>
    <row r="517" spans="21:21" x14ac:dyDescent="0.25">
      <c r="U517"/>
    </row>
    <row r="518" spans="21:21" x14ac:dyDescent="0.25">
      <c r="U518"/>
    </row>
    <row r="519" spans="21:21" x14ac:dyDescent="0.25">
      <c r="U519"/>
    </row>
    <row r="520" spans="21:21" x14ac:dyDescent="0.25">
      <c r="U520"/>
    </row>
    <row r="521" spans="21:21" x14ac:dyDescent="0.25">
      <c r="U521"/>
    </row>
    <row r="522" spans="21:21" x14ac:dyDescent="0.25">
      <c r="U522"/>
    </row>
    <row r="523" spans="21:21" x14ac:dyDescent="0.25">
      <c r="U523"/>
    </row>
    <row r="524" spans="21:21" x14ac:dyDescent="0.25">
      <c r="U524"/>
    </row>
    <row r="525" spans="21:21" x14ac:dyDescent="0.25">
      <c r="U525"/>
    </row>
    <row r="526" spans="21:21" x14ac:dyDescent="0.25">
      <c r="U526"/>
    </row>
    <row r="527" spans="21:21" x14ac:dyDescent="0.25">
      <c r="U527"/>
    </row>
    <row r="528" spans="21:21" x14ac:dyDescent="0.25">
      <c r="U528"/>
    </row>
    <row r="529" spans="21:21" x14ac:dyDescent="0.25">
      <c r="U529"/>
    </row>
    <row r="530" spans="21:21" x14ac:dyDescent="0.25">
      <c r="U530"/>
    </row>
    <row r="531" spans="21:21" x14ac:dyDescent="0.25">
      <c r="U531"/>
    </row>
    <row r="532" spans="21:21" x14ac:dyDescent="0.25">
      <c r="U532"/>
    </row>
    <row r="533" spans="21:21" x14ac:dyDescent="0.25">
      <c r="U533"/>
    </row>
    <row r="534" spans="21:21" x14ac:dyDescent="0.25">
      <c r="U534"/>
    </row>
    <row r="535" spans="21:21" x14ac:dyDescent="0.25">
      <c r="U535"/>
    </row>
    <row r="536" spans="21:21" x14ac:dyDescent="0.25">
      <c r="U536"/>
    </row>
    <row r="537" spans="21:21" x14ac:dyDescent="0.25">
      <c r="U537"/>
    </row>
    <row r="538" spans="21:21" x14ac:dyDescent="0.25">
      <c r="U538"/>
    </row>
    <row r="539" spans="21:21" x14ac:dyDescent="0.25">
      <c r="U539"/>
    </row>
    <row r="540" spans="21:21" x14ac:dyDescent="0.25">
      <c r="U540"/>
    </row>
    <row r="541" spans="21:21" x14ac:dyDescent="0.25">
      <c r="U541"/>
    </row>
    <row r="542" spans="21:21" x14ac:dyDescent="0.25">
      <c r="U542"/>
    </row>
    <row r="543" spans="21:21" x14ac:dyDescent="0.25">
      <c r="U543"/>
    </row>
    <row r="544" spans="21:21" x14ac:dyDescent="0.25">
      <c r="U544"/>
    </row>
    <row r="545" spans="21:21" x14ac:dyDescent="0.25">
      <c r="U545"/>
    </row>
    <row r="546" spans="21:21" x14ac:dyDescent="0.25">
      <c r="U546"/>
    </row>
    <row r="547" spans="21:21" x14ac:dyDescent="0.25">
      <c r="U547"/>
    </row>
    <row r="548" spans="21:21" x14ac:dyDescent="0.25">
      <c r="U548"/>
    </row>
    <row r="549" spans="21:21" x14ac:dyDescent="0.25">
      <c r="U549"/>
    </row>
    <row r="550" spans="21:21" x14ac:dyDescent="0.25">
      <c r="U550"/>
    </row>
    <row r="551" spans="21:21" x14ac:dyDescent="0.25">
      <c r="U551"/>
    </row>
    <row r="552" spans="21:21" x14ac:dyDescent="0.25">
      <c r="U552"/>
    </row>
    <row r="553" spans="21:21" x14ac:dyDescent="0.25">
      <c r="U553"/>
    </row>
    <row r="554" spans="21:21" x14ac:dyDescent="0.25">
      <c r="U554"/>
    </row>
    <row r="555" spans="21:21" x14ac:dyDescent="0.25">
      <c r="U555"/>
    </row>
    <row r="556" spans="21:21" x14ac:dyDescent="0.25">
      <c r="U556"/>
    </row>
    <row r="557" spans="21:21" x14ac:dyDescent="0.25">
      <c r="U557"/>
    </row>
    <row r="558" spans="21:21" x14ac:dyDescent="0.25">
      <c r="U558"/>
    </row>
    <row r="559" spans="21:21" x14ac:dyDescent="0.25">
      <c r="U559"/>
    </row>
    <row r="560" spans="21:21" x14ac:dyDescent="0.25">
      <c r="U560"/>
    </row>
    <row r="561" spans="21:21" x14ac:dyDescent="0.25">
      <c r="U561"/>
    </row>
    <row r="562" spans="21:21" x14ac:dyDescent="0.25">
      <c r="U562"/>
    </row>
    <row r="563" spans="21:21" x14ac:dyDescent="0.25">
      <c r="U563"/>
    </row>
    <row r="564" spans="21:21" x14ac:dyDescent="0.25">
      <c r="U564"/>
    </row>
    <row r="565" spans="21:21" x14ac:dyDescent="0.25">
      <c r="U565"/>
    </row>
    <row r="566" spans="21:21" x14ac:dyDescent="0.25">
      <c r="U566"/>
    </row>
    <row r="567" spans="21:21" x14ac:dyDescent="0.25">
      <c r="U567"/>
    </row>
    <row r="568" spans="21:21" x14ac:dyDescent="0.25">
      <c r="U568"/>
    </row>
    <row r="569" spans="21:21" x14ac:dyDescent="0.25">
      <c r="U569"/>
    </row>
    <row r="570" spans="21:21" x14ac:dyDescent="0.25">
      <c r="U570"/>
    </row>
    <row r="571" spans="21:21" x14ac:dyDescent="0.25">
      <c r="U571"/>
    </row>
    <row r="572" spans="21:21" x14ac:dyDescent="0.25">
      <c r="U572"/>
    </row>
    <row r="573" spans="21:21" x14ac:dyDescent="0.25">
      <c r="U573"/>
    </row>
    <row r="574" spans="21:21" x14ac:dyDescent="0.25">
      <c r="U574"/>
    </row>
    <row r="575" spans="21:21" x14ac:dyDescent="0.25">
      <c r="U575"/>
    </row>
    <row r="576" spans="21:21" x14ac:dyDescent="0.25">
      <c r="U576"/>
    </row>
    <row r="577" spans="21:21" x14ac:dyDescent="0.25">
      <c r="U577"/>
    </row>
    <row r="578" spans="21:21" x14ac:dyDescent="0.25">
      <c r="U578"/>
    </row>
    <row r="579" spans="21:21" x14ac:dyDescent="0.25">
      <c r="U579"/>
    </row>
    <row r="580" spans="21:21" x14ac:dyDescent="0.25">
      <c r="U580"/>
    </row>
    <row r="581" spans="21:21" x14ac:dyDescent="0.25">
      <c r="U581"/>
    </row>
    <row r="582" spans="21:21" x14ac:dyDescent="0.25">
      <c r="U582"/>
    </row>
    <row r="583" spans="21:21" x14ac:dyDescent="0.25">
      <c r="U583"/>
    </row>
    <row r="584" spans="21:21" x14ac:dyDescent="0.25">
      <c r="U584"/>
    </row>
    <row r="585" spans="21:21" x14ac:dyDescent="0.25">
      <c r="U585"/>
    </row>
    <row r="586" spans="21:21" x14ac:dyDescent="0.25">
      <c r="U586"/>
    </row>
    <row r="587" spans="21:21" x14ac:dyDescent="0.25">
      <c r="U587"/>
    </row>
    <row r="588" spans="21:21" x14ac:dyDescent="0.25">
      <c r="U588"/>
    </row>
    <row r="589" spans="21:21" x14ac:dyDescent="0.25">
      <c r="U589"/>
    </row>
    <row r="590" spans="21:21" x14ac:dyDescent="0.25">
      <c r="U590"/>
    </row>
    <row r="591" spans="21:21" x14ac:dyDescent="0.25">
      <c r="U591"/>
    </row>
    <row r="592" spans="21:21" x14ac:dyDescent="0.25">
      <c r="U592"/>
    </row>
    <row r="593" spans="21:21" x14ac:dyDescent="0.25">
      <c r="U593"/>
    </row>
    <row r="594" spans="21:21" x14ac:dyDescent="0.25">
      <c r="U594"/>
    </row>
    <row r="595" spans="21:21" x14ac:dyDescent="0.25">
      <c r="U595"/>
    </row>
    <row r="596" spans="21:21" x14ac:dyDescent="0.25">
      <c r="U596"/>
    </row>
    <row r="597" spans="21:21" x14ac:dyDescent="0.25">
      <c r="U597"/>
    </row>
    <row r="598" spans="21:21" x14ac:dyDescent="0.25">
      <c r="U598"/>
    </row>
    <row r="599" spans="21:21" x14ac:dyDescent="0.25">
      <c r="U599"/>
    </row>
    <row r="600" spans="21:21" x14ac:dyDescent="0.25">
      <c r="U600"/>
    </row>
    <row r="601" spans="21:21" x14ac:dyDescent="0.25">
      <c r="U601"/>
    </row>
    <row r="602" spans="21:21" x14ac:dyDescent="0.25">
      <c r="U602"/>
    </row>
    <row r="603" spans="21:21" x14ac:dyDescent="0.25">
      <c r="U603"/>
    </row>
    <row r="604" spans="21:21" x14ac:dyDescent="0.25">
      <c r="U604"/>
    </row>
    <row r="605" spans="21:21" x14ac:dyDescent="0.25">
      <c r="U605"/>
    </row>
    <row r="606" spans="21:21" x14ac:dyDescent="0.25">
      <c r="U606"/>
    </row>
    <row r="607" spans="21:21" x14ac:dyDescent="0.25">
      <c r="U607"/>
    </row>
    <row r="608" spans="21:21" x14ac:dyDescent="0.25">
      <c r="U608"/>
    </row>
    <row r="609" spans="21:21" x14ac:dyDescent="0.25">
      <c r="U609"/>
    </row>
    <row r="610" spans="21:21" x14ac:dyDescent="0.25">
      <c r="U610"/>
    </row>
    <row r="611" spans="21:21" x14ac:dyDescent="0.25">
      <c r="U611"/>
    </row>
    <row r="612" spans="21:21" x14ac:dyDescent="0.25">
      <c r="U612"/>
    </row>
    <row r="613" spans="21:21" x14ac:dyDescent="0.25">
      <c r="U613"/>
    </row>
    <row r="614" spans="21:21" x14ac:dyDescent="0.25">
      <c r="U614"/>
    </row>
    <row r="615" spans="21:21" x14ac:dyDescent="0.25">
      <c r="U615"/>
    </row>
    <row r="616" spans="21:21" x14ac:dyDescent="0.25">
      <c r="U616"/>
    </row>
    <row r="617" spans="21:21" x14ac:dyDescent="0.25">
      <c r="U617"/>
    </row>
    <row r="618" spans="21:21" x14ac:dyDescent="0.25">
      <c r="U618"/>
    </row>
    <row r="619" spans="21:21" x14ac:dyDescent="0.25">
      <c r="U619"/>
    </row>
    <row r="620" spans="21:21" x14ac:dyDescent="0.25">
      <c r="U620"/>
    </row>
    <row r="621" spans="21:21" x14ac:dyDescent="0.25">
      <c r="U621"/>
    </row>
    <row r="622" spans="21:21" x14ac:dyDescent="0.25">
      <c r="U622"/>
    </row>
    <row r="623" spans="21:21" x14ac:dyDescent="0.25">
      <c r="U623"/>
    </row>
    <row r="624" spans="21:21" x14ac:dyDescent="0.25">
      <c r="U624"/>
    </row>
    <row r="625" spans="21:21" x14ac:dyDescent="0.25">
      <c r="U625"/>
    </row>
    <row r="626" spans="21:21" x14ac:dyDescent="0.25">
      <c r="U626"/>
    </row>
    <row r="627" spans="21:21" x14ac:dyDescent="0.25">
      <c r="U627"/>
    </row>
    <row r="628" spans="21:21" x14ac:dyDescent="0.25">
      <c r="U628"/>
    </row>
    <row r="629" spans="21:21" x14ac:dyDescent="0.25">
      <c r="U629"/>
    </row>
    <row r="630" spans="21:21" x14ac:dyDescent="0.25">
      <c r="U630"/>
    </row>
    <row r="631" spans="21:21" x14ac:dyDescent="0.25">
      <c r="U631"/>
    </row>
    <row r="632" spans="21:21" x14ac:dyDescent="0.25">
      <c r="U632"/>
    </row>
    <row r="633" spans="21:21" x14ac:dyDescent="0.25">
      <c r="U633"/>
    </row>
    <row r="634" spans="21:21" x14ac:dyDescent="0.25">
      <c r="U634"/>
    </row>
    <row r="635" spans="21:21" x14ac:dyDescent="0.25">
      <c r="U635"/>
    </row>
    <row r="636" spans="21:21" x14ac:dyDescent="0.25">
      <c r="U636"/>
    </row>
    <row r="637" spans="21:21" x14ac:dyDescent="0.25">
      <c r="U637"/>
    </row>
    <row r="638" spans="21:21" x14ac:dyDescent="0.25">
      <c r="U638"/>
    </row>
    <row r="639" spans="21:21" x14ac:dyDescent="0.25">
      <c r="U639"/>
    </row>
    <row r="640" spans="21:21" x14ac:dyDescent="0.25">
      <c r="U640"/>
    </row>
    <row r="641" spans="21:21" x14ac:dyDescent="0.25">
      <c r="U641"/>
    </row>
    <row r="642" spans="21:21" x14ac:dyDescent="0.25">
      <c r="U642"/>
    </row>
    <row r="643" spans="21:21" x14ac:dyDescent="0.25">
      <c r="U643"/>
    </row>
    <row r="644" spans="21:21" x14ac:dyDescent="0.25">
      <c r="U644"/>
    </row>
    <row r="645" spans="21:21" x14ac:dyDescent="0.25">
      <c r="U645"/>
    </row>
    <row r="646" spans="21:21" x14ac:dyDescent="0.25">
      <c r="U646"/>
    </row>
    <row r="647" spans="21:21" x14ac:dyDescent="0.25">
      <c r="U647"/>
    </row>
    <row r="648" spans="21:21" x14ac:dyDescent="0.25">
      <c r="U648"/>
    </row>
    <row r="649" spans="21:21" x14ac:dyDescent="0.25">
      <c r="U649"/>
    </row>
    <row r="650" spans="21:21" x14ac:dyDescent="0.25">
      <c r="U650"/>
    </row>
    <row r="651" spans="21:21" x14ac:dyDescent="0.25">
      <c r="U651"/>
    </row>
    <row r="652" spans="21:21" x14ac:dyDescent="0.25">
      <c r="U652"/>
    </row>
    <row r="653" spans="21:21" x14ac:dyDescent="0.25">
      <c r="U653"/>
    </row>
    <row r="654" spans="21:21" x14ac:dyDescent="0.25">
      <c r="U654"/>
    </row>
    <row r="655" spans="21:21" x14ac:dyDescent="0.25">
      <c r="U655"/>
    </row>
    <row r="656" spans="21:21" x14ac:dyDescent="0.25">
      <c r="U656"/>
    </row>
    <row r="657" spans="21:21" x14ac:dyDescent="0.25">
      <c r="U657"/>
    </row>
    <row r="658" spans="21:21" x14ac:dyDescent="0.25">
      <c r="U658"/>
    </row>
    <row r="659" spans="21:21" x14ac:dyDescent="0.25">
      <c r="U659"/>
    </row>
    <row r="660" spans="21:21" x14ac:dyDescent="0.25">
      <c r="U660"/>
    </row>
    <row r="661" spans="21:21" x14ac:dyDescent="0.25">
      <c r="U661"/>
    </row>
    <row r="662" spans="21:21" x14ac:dyDescent="0.25">
      <c r="U662"/>
    </row>
    <row r="663" spans="21:21" x14ac:dyDescent="0.25">
      <c r="U663"/>
    </row>
    <row r="664" spans="21:21" x14ac:dyDescent="0.25">
      <c r="U664"/>
    </row>
    <row r="665" spans="21:21" x14ac:dyDescent="0.25">
      <c r="U665"/>
    </row>
    <row r="666" spans="21:21" x14ac:dyDescent="0.25">
      <c r="U666"/>
    </row>
    <row r="667" spans="21:21" x14ac:dyDescent="0.25">
      <c r="U667"/>
    </row>
    <row r="668" spans="21:21" x14ac:dyDescent="0.25">
      <c r="U668"/>
    </row>
    <row r="669" spans="21:21" x14ac:dyDescent="0.25">
      <c r="U669"/>
    </row>
    <row r="670" spans="21:21" x14ac:dyDescent="0.25">
      <c r="U670"/>
    </row>
    <row r="671" spans="21:21" x14ac:dyDescent="0.25">
      <c r="U671"/>
    </row>
    <row r="672" spans="21:21" x14ac:dyDescent="0.25">
      <c r="U672"/>
    </row>
    <row r="673" spans="21:21" x14ac:dyDescent="0.25">
      <c r="U673"/>
    </row>
    <row r="674" spans="21:21" x14ac:dyDescent="0.25">
      <c r="U674"/>
    </row>
    <row r="675" spans="21:21" x14ac:dyDescent="0.25">
      <c r="U675"/>
    </row>
    <row r="676" spans="21:21" x14ac:dyDescent="0.25">
      <c r="U676"/>
    </row>
    <row r="677" spans="21:21" x14ac:dyDescent="0.25">
      <c r="U677"/>
    </row>
    <row r="678" spans="21:21" x14ac:dyDescent="0.25">
      <c r="U678"/>
    </row>
    <row r="679" spans="21:21" x14ac:dyDescent="0.25">
      <c r="U679"/>
    </row>
    <row r="680" spans="21:21" x14ac:dyDescent="0.25">
      <c r="U680"/>
    </row>
    <row r="681" spans="21:21" x14ac:dyDescent="0.25">
      <c r="U681"/>
    </row>
    <row r="682" spans="21:21" x14ac:dyDescent="0.25">
      <c r="U682"/>
    </row>
    <row r="683" spans="21:21" x14ac:dyDescent="0.25">
      <c r="U683"/>
    </row>
    <row r="684" spans="21:21" x14ac:dyDescent="0.25">
      <c r="U684"/>
    </row>
    <row r="685" spans="21:21" x14ac:dyDescent="0.25">
      <c r="U685"/>
    </row>
    <row r="686" spans="21:21" x14ac:dyDescent="0.25">
      <c r="U686"/>
    </row>
    <row r="687" spans="21:21" x14ac:dyDescent="0.25">
      <c r="U687"/>
    </row>
    <row r="688" spans="21:21" x14ac:dyDescent="0.25">
      <c r="U688"/>
    </row>
    <row r="689" spans="21:21" x14ac:dyDescent="0.25">
      <c r="U689"/>
    </row>
    <row r="690" spans="21:21" x14ac:dyDescent="0.25">
      <c r="U690"/>
    </row>
    <row r="691" spans="21:21" x14ac:dyDescent="0.25">
      <c r="U691"/>
    </row>
    <row r="692" spans="21:21" x14ac:dyDescent="0.25">
      <c r="U692"/>
    </row>
    <row r="693" spans="21:21" x14ac:dyDescent="0.25">
      <c r="U693"/>
    </row>
    <row r="694" spans="21:21" x14ac:dyDescent="0.25">
      <c r="U694"/>
    </row>
    <row r="695" spans="21:21" x14ac:dyDescent="0.25">
      <c r="U695"/>
    </row>
    <row r="696" spans="21:21" x14ac:dyDescent="0.25">
      <c r="U696"/>
    </row>
    <row r="697" spans="21:21" x14ac:dyDescent="0.25">
      <c r="U697"/>
    </row>
    <row r="698" spans="21:21" x14ac:dyDescent="0.25">
      <c r="U698"/>
    </row>
    <row r="699" spans="21:21" x14ac:dyDescent="0.25">
      <c r="U699"/>
    </row>
    <row r="700" spans="21:21" x14ac:dyDescent="0.25">
      <c r="U700"/>
    </row>
    <row r="701" spans="21:21" x14ac:dyDescent="0.25">
      <c r="U701"/>
    </row>
    <row r="702" spans="21:21" x14ac:dyDescent="0.25">
      <c r="U702"/>
    </row>
    <row r="703" spans="21:21" x14ac:dyDescent="0.25">
      <c r="U703"/>
    </row>
    <row r="704" spans="21:21" x14ac:dyDescent="0.25">
      <c r="U704"/>
    </row>
    <row r="705" spans="21:21" x14ac:dyDescent="0.25">
      <c r="U705"/>
    </row>
    <row r="706" spans="21:21" x14ac:dyDescent="0.25">
      <c r="U706"/>
    </row>
    <row r="707" spans="21:21" x14ac:dyDescent="0.25">
      <c r="U707"/>
    </row>
    <row r="708" spans="21:21" x14ac:dyDescent="0.25">
      <c r="U708"/>
    </row>
    <row r="709" spans="21:21" x14ac:dyDescent="0.25">
      <c r="U709"/>
    </row>
    <row r="710" spans="21:21" x14ac:dyDescent="0.25">
      <c r="U710"/>
    </row>
    <row r="711" spans="21:21" x14ac:dyDescent="0.25">
      <c r="U711"/>
    </row>
    <row r="712" spans="21:21" x14ac:dyDescent="0.25">
      <c r="U712"/>
    </row>
    <row r="713" spans="21:21" x14ac:dyDescent="0.25">
      <c r="U713"/>
    </row>
    <row r="714" spans="21:21" x14ac:dyDescent="0.25">
      <c r="U714"/>
    </row>
    <row r="715" spans="21:21" x14ac:dyDescent="0.25">
      <c r="U715"/>
    </row>
    <row r="716" spans="21:21" x14ac:dyDescent="0.25">
      <c r="U716"/>
    </row>
    <row r="717" spans="21:21" x14ac:dyDescent="0.25">
      <c r="U717"/>
    </row>
    <row r="718" spans="21:21" x14ac:dyDescent="0.25">
      <c r="U718"/>
    </row>
    <row r="719" spans="21:21" x14ac:dyDescent="0.25">
      <c r="U719"/>
    </row>
    <row r="720" spans="21:21" x14ac:dyDescent="0.25">
      <c r="U720"/>
    </row>
    <row r="721" spans="21:21" x14ac:dyDescent="0.25">
      <c r="U721"/>
    </row>
    <row r="722" spans="21:21" x14ac:dyDescent="0.25">
      <c r="U722"/>
    </row>
    <row r="723" spans="21:21" x14ac:dyDescent="0.25">
      <c r="U723"/>
    </row>
    <row r="724" spans="21:21" x14ac:dyDescent="0.25">
      <c r="U724"/>
    </row>
    <row r="725" spans="21:21" x14ac:dyDescent="0.25">
      <c r="U725"/>
    </row>
    <row r="726" spans="21:21" x14ac:dyDescent="0.25">
      <c r="U726"/>
    </row>
    <row r="727" spans="21:21" x14ac:dyDescent="0.25">
      <c r="U727"/>
    </row>
    <row r="728" spans="21:21" x14ac:dyDescent="0.25">
      <c r="U728"/>
    </row>
    <row r="729" spans="21:21" x14ac:dyDescent="0.25">
      <c r="U729"/>
    </row>
    <row r="730" spans="21:21" x14ac:dyDescent="0.25">
      <c r="U730"/>
    </row>
    <row r="731" spans="21:21" x14ac:dyDescent="0.25">
      <c r="U731"/>
    </row>
    <row r="732" spans="21:21" x14ac:dyDescent="0.25">
      <c r="U732"/>
    </row>
    <row r="733" spans="21:21" x14ac:dyDescent="0.25">
      <c r="U733"/>
    </row>
    <row r="734" spans="21:21" x14ac:dyDescent="0.25">
      <c r="U734"/>
    </row>
    <row r="735" spans="21:21" x14ac:dyDescent="0.25">
      <c r="U735"/>
    </row>
    <row r="736" spans="21:21" x14ac:dyDescent="0.25">
      <c r="U736"/>
    </row>
    <row r="737" spans="21:21" x14ac:dyDescent="0.25">
      <c r="U737"/>
    </row>
    <row r="738" spans="21:21" x14ac:dyDescent="0.25">
      <c r="U738"/>
    </row>
    <row r="739" spans="21:21" x14ac:dyDescent="0.25">
      <c r="U739"/>
    </row>
    <row r="740" spans="21:21" x14ac:dyDescent="0.25">
      <c r="U740"/>
    </row>
    <row r="741" spans="21:21" x14ac:dyDescent="0.25">
      <c r="U741"/>
    </row>
    <row r="742" spans="21:21" x14ac:dyDescent="0.25">
      <c r="U742"/>
    </row>
    <row r="743" spans="21:21" x14ac:dyDescent="0.25">
      <c r="U743"/>
    </row>
    <row r="744" spans="21:21" x14ac:dyDescent="0.25">
      <c r="U744"/>
    </row>
    <row r="745" spans="21:21" x14ac:dyDescent="0.25">
      <c r="U745"/>
    </row>
    <row r="746" spans="21:21" x14ac:dyDescent="0.25">
      <c r="U746"/>
    </row>
    <row r="747" spans="21:21" x14ac:dyDescent="0.25">
      <c r="U747"/>
    </row>
    <row r="748" spans="21:21" x14ac:dyDescent="0.25">
      <c r="U748"/>
    </row>
    <row r="749" spans="21:21" x14ac:dyDescent="0.25">
      <c r="U749"/>
    </row>
    <row r="750" spans="21:21" x14ac:dyDescent="0.25">
      <c r="U750"/>
    </row>
    <row r="751" spans="21:21" x14ac:dyDescent="0.25">
      <c r="U751"/>
    </row>
    <row r="752" spans="21:21" x14ac:dyDescent="0.25">
      <c r="U752"/>
    </row>
    <row r="753" spans="21:21" x14ac:dyDescent="0.25">
      <c r="U753"/>
    </row>
    <row r="754" spans="21:21" x14ac:dyDescent="0.25">
      <c r="U754"/>
    </row>
    <row r="755" spans="21:21" x14ac:dyDescent="0.25">
      <c r="U755"/>
    </row>
    <row r="756" spans="21:21" x14ac:dyDescent="0.25">
      <c r="U756"/>
    </row>
    <row r="757" spans="21:21" x14ac:dyDescent="0.25">
      <c r="U757"/>
    </row>
    <row r="758" spans="21:21" x14ac:dyDescent="0.25">
      <c r="U758"/>
    </row>
    <row r="759" spans="21:21" x14ac:dyDescent="0.25">
      <c r="U759"/>
    </row>
    <row r="760" spans="21:21" x14ac:dyDescent="0.25">
      <c r="U760"/>
    </row>
    <row r="761" spans="21:21" x14ac:dyDescent="0.25">
      <c r="U761"/>
    </row>
    <row r="762" spans="21:21" x14ac:dyDescent="0.25">
      <c r="U762"/>
    </row>
    <row r="763" spans="21:21" x14ac:dyDescent="0.25">
      <c r="U763"/>
    </row>
    <row r="764" spans="21:21" x14ac:dyDescent="0.25">
      <c r="U764"/>
    </row>
    <row r="765" spans="21:21" x14ac:dyDescent="0.25">
      <c r="U765"/>
    </row>
    <row r="766" spans="21:21" x14ac:dyDescent="0.25">
      <c r="U766"/>
    </row>
    <row r="767" spans="21:21" x14ac:dyDescent="0.25">
      <c r="U767"/>
    </row>
    <row r="768" spans="21:21" x14ac:dyDescent="0.25">
      <c r="U768"/>
    </row>
    <row r="769" spans="21:21" x14ac:dyDescent="0.25">
      <c r="U769"/>
    </row>
    <row r="770" spans="21:21" x14ac:dyDescent="0.25">
      <c r="U770"/>
    </row>
    <row r="771" spans="21:21" x14ac:dyDescent="0.25">
      <c r="U771"/>
    </row>
    <row r="772" spans="21:21" x14ac:dyDescent="0.25">
      <c r="U772"/>
    </row>
    <row r="773" spans="21:21" x14ac:dyDescent="0.25">
      <c r="U773"/>
    </row>
    <row r="774" spans="21:21" x14ac:dyDescent="0.25">
      <c r="U774"/>
    </row>
    <row r="775" spans="21:21" x14ac:dyDescent="0.25">
      <c r="U775"/>
    </row>
    <row r="776" spans="21:21" x14ac:dyDescent="0.25">
      <c r="U776"/>
    </row>
    <row r="777" spans="21:21" x14ac:dyDescent="0.25">
      <c r="U777"/>
    </row>
    <row r="778" spans="21:21" x14ac:dyDescent="0.25">
      <c r="U778"/>
    </row>
    <row r="779" spans="21:21" x14ac:dyDescent="0.25">
      <c r="U779"/>
    </row>
    <row r="780" spans="21:21" x14ac:dyDescent="0.25">
      <c r="U780"/>
    </row>
    <row r="781" spans="21:21" x14ac:dyDescent="0.25">
      <c r="U781"/>
    </row>
    <row r="782" spans="21:21" x14ac:dyDescent="0.25">
      <c r="U782"/>
    </row>
    <row r="783" spans="21:21" x14ac:dyDescent="0.25">
      <c r="U783"/>
    </row>
    <row r="784" spans="21:21" x14ac:dyDescent="0.25">
      <c r="U784"/>
    </row>
    <row r="785" spans="21:21" x14ac:dyDescent="0.25">
      <c r="U785"/>
    </row>
    <row r="786" spans="21:21" x14ac:dyDescent="0.25">
      <c r="U786"/>
    </row>
    <row r="787" spans="21:21" x14ac:dyDescent="0.25">
      <c r="U787"/>
    </row>
    <row r="788" spans="21:21" x14ac:dyDescent="0.25">
      <c r="U788"/>
    </row>
    <row r="789" spans="21:21" x14ac:dyDescent="0.25">
      <c r="U789"/>
    </row>
    <row r="790" spans="21:21" x14ac:dyDescent="0.25">
      <c r="U790"/>
    </row>
    <row r="791" spans="21:21" x14ac:dyDescent="0.25">
      <c r="U791"/>
    </row>
    <row r="792" spans="21:21" x14ac:dyDescent="0.25">
      <c r="U792"/>
    </row>
    <row r="793" spans="21:21" x14ac:dyDescent="0.25">
      <c r="U793"/>
    </row>
    <row r="794" spans="21:21" x14ac:dyDescent="0.25">
      <c r="U794"/>
    </row>
    <row r="795" spans="21:21" x14ac:dyDescent="0.25">
      <c r="U795"/>
    </row>
    <row r="796" spans="21:21" x14ac:dyDescent="0.25">
      <c r="U796"/>
    </row>
    <row r="797" spans="21:21" x14ac:dyDescent="0.25">
      <c r="U797"/>
    </row>
    <row r="798" spans="21:21" x14ac:dyDescent="0.25">
      <c r="U798"/>
    </row>
    <row r="799" spans="21:21" x14ac:dyDescent="0.25">
      <c r="U799"/>
    </row>
    <row r="800" spans="21:21" x14ac:dyDescent="0.25">
      <c r="U800"/>
    </row>
    <row r="801" spans="21:21" x14ac:dyDescent="0.25">
      <c r="U801"/>
    </row>
    <row r="802" spans="21:21" x14ac:dyDescent="0.25">
      <c r="U802"/>
    </row>
    <row r="803" spans="21:21" x14ac:dyDescent="0.25">
      <c r="U803"/>
    </row>
    <row r="804" spans="21:21" x14ac:dyDescent="0.25">
      <c r="U804"/>
    </row>
    <row r="805" spans="21:21" x14ac:dyDescent="0.25">
      <c r="U805"/>
    </row>
    <row r="806" spans="21:21" x14ac:dyDescent="0.25">
      <c r="U806"/>
    </row>
    <row r="807" spans="21:21" x14ac:dyDescent="0.25">
      <c r="U807"/>
    </row>
    <row r="808" spans="21:21" x14ac:dyDescent="0.25">
      <c r="U808"/>
    </row>
    <row r="809" spans="21:21" x14ac:dyDescent="0.25">
      <c r="U809"/>
    </row>
    <row r="810" spans="21:21" x14ac:dyDescent="0.25">
      <c r="U810"/>
    </row>
    <row r="811" spans="21:21" x14ac:dyDescent="0.25">
      <c r="U811"/>
    </row>
    <row r="812" spans="21:21" x14ac:dyDescent="0.25">
      <c r="U812"/>
    </row>
    <row r="813" spans="21:21" x14ac:dyDescent="0.25">
      <c r="U813"/>
    </row>
    <row r="814" spans="21:21" x14ac:dyDescent="0.25">
      <c r="U814"/>
    </row>
    <row r="815" spans="21:21" x14ac:dyDescent="0.25">
      <c r="U815"/>
    </row>
    <row r="816" spans="21:21" x14ac:dyDescent="0.25">
      <c r="U816"/>
    </row>
    <row r="817" spans="21:21" x14ac:dyDescent="0.25">
      <c r="U817"/>
    </row>
    <row r="818" spans="21:21" x14ac:dyDescent="0.25">
      <c r="U818"/>
    </row>
    <row r="819" spans="21:21" x14ac:dyDescent="0.25">
      <c r="U819"/>
    </row>
    <row r="820" spans="21:21" x14ac:dyDescent="0.25">
      <c r="U820"/>
    </row>
    <row r="821" spans="21:21" x14ac:dyDescent="0.25">
      <c r="U821"/>
    </row>
    <row r="822" spans="21:21" x14ac:dyDescent="0.25">
      <c r="U822"/>
    </row>
    <row r="823" spans="21:21" x14ac:dyDescent="0.25">
      <c r="U823"/>
    </row>
    <row r="824" spans="21:21" x14ac:dyDescent="0.25">
      <c r="U824"/>
    </row>
    <row r="825" spans="21:21" x14ac:dyDescent="0.25">
      <c r="U825"/>
    </row>
    <row r="826" spans="21:21" x14ac:dyDescent="0.25">
      <c r="U826"/>
    </row>
    <row r="827" spans="21:21" x14ac:dyDescent="0.25">
      <c r="U827"/>
    </row>
    <row r="828" spans="21:21" x14ac:dyDescent="0.25">
      <c r="U828"/>
    </row>
    <row r="829" spans="21:21" x14ac:dyDescent="0.25">
      <c r="U829"/>
    </row>
    <row r="830" spans="21:21" x14ac:dyDescent="0.25">
      <c r="U830"/>
    </row>
    <row r="831" spans="21:21" x14ac:dyDescent="0.25">
      <c r="U831"/>
    </row>
    <row r="832" spans="21:21" x14ac:dyDescent="0.25">
      <c r="U832"/>
    </row>
    <row r="833" spans="21:21" x14ac:dyDescent="0.25">
      <c r="U833"/>
    </row>
    <row r="834" spans="21:21" x14ac:dyDescent="0.25">
      <c r="U834"/>
    </row>
    <row r="835" spans="21:21" x14ac:dyDescent="0.25">
      <c r="U835"/>
    </row>
    <row r="836" spans="21:21" x14ac:dyDescent="0.25">
      <c r="U836"/>
    </row>
    <row r="837" spans="21:21" x14ac:dyDescent="0.25">
      <c r="U837"/>
    </row>
    <row r="838" spans="21:21" x14ac:dyDescent="0.25">
      <c r="U838"/>
    </row>
    <row r="839" spans="21:21" x14ac:dyDescent="0.25">
      <c r="U839"/>
    </row>
    <row r="840" spans="21:21" x14ac:dyDescent="0.25">
      <c r="U840"/>
    </row>
    <row r="841" spans="21:21" x14ac:dyDescent="0.25">
      <c r="U841"/>
    </row>
    <row r="842" spans="21:21" x14ac:dyDescent="0.25">
      <c r="U842"/>
    </row>
    <row r="843" spans="21:21" x14ac:dyDescent="0.25">
      <c r="U843"/>
    </row>
    <row r="844" spans="21:21" x14ac:dyDescent="0.25">
      <c r="U844"/>
    </row>
    <row r="845" spans="21:21" x14ac:dyDescent="0.25">
      <c r="U845"/>
    </row>
    <row r="846" spans="21:21" x14ac:dyDescent="0.25">
      <c r="U846"/>
    </row>
    <row r="847" spans="21:21" x14ac:dyDescent="0.25">
      <c r="U847"/>
    </row>
    <row r="848" spans="21:21" x14ac:dyDescent="0.25">
      <c r="U848"/>
    </row>
    <row r="849" spans="21:21" x14ac:dyDescent="0.25">
      <c r="U849"/>
    </row>
    <row r="850" spans="21:21" x14ac:dyDescent="0.25">
      <c r="U850"/>
    </row>
    <row r="851" spans="21:21" x14ac:dyDescent="0.25">
      <c r="U851"/>
    </row>
    <row r="852" spans="21:21" x14ac:dyDescent="0.25">
      <c r="U852"/>
    </row>
    <row r="853" spans="21:21" x14ac:dyDescent="0.25">
      <c r="U853"/>
    </row>
    <row r="854" spans="21:21" x14ac:dyDescent="0.25">
      <c r="U854"/>
    </row>
    <row r="855" spans="21:21" x14ac:dyDescent="0.25">
      <c r="U855"/>
    </row>
    <row r="856" spans="21:21" x14ac:dyDescent="0.25">
      <c r="U856"/>
    </row>
    <row r="857" spans="21:21" x14ac:dyDescent="0.25">
      <c r="U857"/>
    </row>
    <row r="858" spans="21:21" x14ac:dyDescent="0.25">
      <c r="U858"/>
    </row>
    <row r="859" spans="21:21" x14ac:dyDescent="0.25">
      <c r="U859"/>
    </row>
    <row r="860" spans="21:21" x14ac:dyDescent="0.25">
      <c r="U860"/>
    </row>
    <row r="861" spans="21:21" x14ac:dyDescent="0.25">
      <c r="U861"/>
    </row>
    <row r="862" spans="21:21" x14ac:dyDescent="0.25">
      <c r="U862"/>
    </row>
    <row r="863" spans="21:21" x14ac:dyDescent="0.25">
      <c r="U863"/>
    </row>
    <row r="864" spans="21:21" x14ac:dyDescent="0.25">
      <c r="U864"/>
    </row>
    <row r="865" spans="21:21" x14ac:dyDescent="0.25">
      <c r="U865"/>
    </row>
    <row r="866" spans="21:21" x14ac:dyDescent="0.25">
      <c r="U866"/>
    </row>
    <row r="867" spans="21:21" x14ac:dyDescent="0.25">
      <c r="U867"/>
    </row>
    <row r="868" spans="21:21" x14ac:dyDescent="0.25">
      <c r="U868"/>
    </row>
    <row r="869" spans="21:21" x14ac:dyDescent="0.25">
      <c r="U869"/>
    </row>
    <row r="870" spans="21:21" x14ac:dyDescent="0.25">
      <c r="U870"/>
    </row>
    <row r="871" spans="21:21" x14ac:dyDescent="0.25">
      <c r="U871"/>
    </row>
    <row r="872" spans="21:21" x14ac:dyDescent="0.25">
      <c r="U872"/>
    </row>
    <row r="873" spans="21:21" x14ac:dyDescent="0.25">
      <c r="U873"/>
    </row>
    <row r="874" spans="21:21" x14ac:dyDescent="0.25">
      <c r="U874"/>
    </row>
    <row r="875" spans="21:21" x14ac:dyDescent="0.25">
      <c r="U875"/>
    </row>
    <row r="876" spans="21:21" x14ac:dyDescent="0.25">
      <c r="U876"/>
    </row>
    <row r="877" spans="21:21" x14ac:dyDescent="0.25">
      <c r="U877"/>
    </row>
    <row r="878" spans="21:21" x14ac:dyDescent="0.25">
      <c r="U878"/>
    </row>
    <row r="879" spans="21:21" x14ac:dyDescent="0.25">
      <c r="U879"/>
    </row>
    <row r="880" spans="21:21" x14ac:dyDescent="0.25">
      <c r="U880"/>
    </row>
    <row r="881" spans="21:21" x14ac:dyDescent="0.25">
      <c r="U881"/>
    </row>
    <row r="882" spans="21:21" x14ac:dyDescent="0.25">
      <c r="U882"/>
    </row>
    <row r="883" spans="21:21" x14ac:dyDescent="0.25">
      <c r="U883"/>
    </row>
    <row r="884" spans="21:21" x14ac:dyDescent="0.25">
      <c r="U884"/>
    </row>
    <row r="885" spans="21:21" x14ac:dyDescent="0.25">
      <c r="U885"/>
    </row>
    <row r="886" spans="21:21" x14ac:dyDescent="0.25">
      <c r="U886"/>
    </row>
    <row r="887" spans="21:21" x14ac:dyDescent="0.25">
      <c r="U887"/>
    </row>
    <row r="888" spans="21:21" x14ac:dyDescent="0.25">
      <c r="U888"/>
    </row>
    <row r="889" spans="21:21" x14ac:dyDescent="0.25">
      <c r="U889"/>
    </row>
    <row r="890" spans="21:21" x14ac:dyDescent="0.25">
      <c r="U890"/>
    </row>
    <row r="891" spans="21:21" x14ac:dyDescent="0.25">
      <c r="U891"/>
    </row>
    <row r="892" spans="21:21" x14ac:dyDescent="0.25">
      <c r="U892"/>
    </row>
    <row r="893" spans="21:21" x14ac:dyDescent="0.25">
      <c r="U893"/>
    </row>
    <row r="894" spans="21:21" x14ac:dyDescent="0.25">
      <c r="U894"/>
    </row>
    <row r="895" spans="21:21" x14ac:dyDescent="0.25">
      <c r="U895"/>
    </row>
    <row r="896" spans="21:21" x14ac:dyDescent="0.25">
      <c r="U896"/>
    </row>
    <row r="897" spans="21:21" x14ac:dyDescent="0.25">
      <c r="U897"/>
    </row>
    <row r="898" spans="21:21" x14ac:dyDescent="0.25">
      <c r="U898"/>
    </row>
    <row r="899" spans="21:21" x14ac:dyDescent="0.25">
      <c r="U899"/>
    </row>
    <row r="900" spans="21:21" x14ac:dyDescent="0.25">
      <c r="U900"/>
    </row>
    <row r="901" spans="21:21" x14ac:dyDescent="0.25">
      <c r="U901"/>
    </row>
    <row r="902" spans="21:21" x14ac:dyDescent="0.25">
      <c r="U902"/>
    </row>
    <row r="903" spans="21:21" x14ac:dyDescent="0.25">
      <c r="U903"/>
    </row>
    <row r="904" spans="21:21" x14ac:dyDescent="0.25">
      <c r="U904"/>
    </row>
    <row r="905" spans="21:21" x14ac:dyDescent="0.25">
      <c r="U905"/>
    </row>
    <row r="906" spans="21:21" x14ac:dyDescent="0.25">
      <c r="U906"/>
    </row>
    <row r="907" spans="21:21" x14ac:dyDescent="0.25">
      <c r="U907"/>
    </row>
    <row r="908" spans="21:21" x14ac:dyDescent="0.25">
      <c r="U908"/>
    </row>
    <row r="909" spans="21:21" x14ac:dyDescent="0.25">
      <c r="U909"/>
    </row>
    <row r="910" spans="21:21" x14ac:dyDescent="0.25">
      <c r="U910"/>
    </row>
    <row r="911" spans="21:21" x14ac:dyDescent="0.25">
      <c r="U911"/>
    </row>
    <row r="912" spans="21:21" x14ac:dyDescent="0.25">
      <c r="U912"/>
    </row>
    <row r="913" spans="21:21" x14ac:dyDescent="0.25">
      <c r="U913"/>
    </row>
    <row r="914" spans="21:21" x14ac:dyDescent="0.25">
      <c r="U914"/>
    </row>
    <row r="915" spans="21:21" x14ac:dyDescent="0.25">
      <c r="U915"/>
    </row>
    <row r="916" spans="21:21" x14ac:dyDescent="0.25">
      <c r="U916"/>
    </row>
    <row r="917" spans="21:21" x14ac:dyDescent="0.25">
      <c r="U917"/>
    </row>
    <row r="918" spans="21:21" x14ac:dyDescent="0.25">
      <c r="U918"/>
    </row>
    <row r="919" spans="21:21" x14ac:dyDescent="0.25">
      <c r="U919"/>
    </row>
    <row r="920" spans="21:21" x14ac:dyDescent="0.25">
      <c r="U920"/>
    </row>
    <row r="921" spans="21:21" x14ac:dyDescent="0.25">
      <c r="U921"/>
    </row>
    <row r="922" spans="21:21" x14ac:dyDescent="0.25">
      <c r="U922"/>
    </row>
    <row r="923" spans="21:21" x14ac:dyDescent="0.25">
      <c r="U923"/>
    </row>
    <row r="924" spans="21:21" x14ac:dyDescent="0.25">
      <c r="U924"/>
    </row>
    <row r="925" spans="21:21" x14ac:dyDescent="0.25">
      <c r="U925"/>
    </row>
    <row r="926" spans="21:21" x14ac:dyDescent="0.25">
      <c r="U926"/>
    </row>
    <row r="927" spans="21:21" x14ac:dyDescent="0.25">
      <c r="U927"/>
    </row>
    <row r="928" spans="21:21" x14ac:dyDescent="0.25">
      <c r="U928"/>
    </row>
    <row r="929" spans="21:21" x14ac:dyDescent="0.25">
      <c r="U929"/>
    </row>
    <row r="930" spans="21:21" x14ac:dyDescent="0.25">
      <c r="U930"/>
    </row>
    <row r="931" spans="21:21" x14ac:dyDescent="0.25">
      <c r="U931"/>
    </row>
    <row r="932" spans="21:21" x14ac:dyDescent="0.25">
      <c r="U932"/>
    </row>
    <row r="933" spans="21:21" x14ac:dyDescent="0.25">
      <c r="U933"/>
    </row>
    <row r="934" spans="21:21" x14ac:dyDescent="0.25">
      <c r="U934"/>
    </row>
    <row r="935" spans="21:21" x14ac:dyDescent="0.25">
      <c r="U935"/>
    </row>
    <row r="936" spans="21:21" x14ac:dyDescent="0.25">
      <c r="U936"/>
    </row>
    <row r="937" spans="21:21" x14ac:dyDescent="0.25">
      <c r="U937"/>
    </row>
    <row r="938" spans="21:21" x14ac:dyDescent="0.25">
      <c r="U938"/>
    </row>
    <row r="939" spans="21:21" x14ac:dyDescent="0.25">
      <c r="U939"/>
    </row>
    <row r="940" spans="21:21" x14ac:dyDescent="0.25">
      <c r="U940"/>
    </row>
    <row r="941" spans="21:21" x14ac:dyDescent="0.25">
      <c r="U941"/>
    </row>
    <row r="942" spans="21:21" x14ac:dyDescent="0.25">
      <c r="U942"/>
    </row>
    <row r="943" spans="21:21" x14ac:dyDescent="0.25">
      <c r="U943"/>
    </row>
    <row r="944" spans="21:21" x14ac:dyDescent="0.25">
      <c r="U944"/>
    </row>
    <row r="945" spans="21:21" x14ac:dyDescent="0.25">
      <c r="U945"/>
    </row>
    <row r="946" spans="21:21" x14ac:dyDescent="0.25">
      <c r="U946"/>
    </row>
    <row r="947" spans="21:21" x14ac:dyDescent="0.25">
      <c r="U947"/>
    </row>
    <row r="948" spans="21:21" x14ac:dyDescent="0.25">
      <c r="U948"/>
    </row>
    <row r="949" spans="21:21" x14ac:dyDescent="0.25">
      <c r="U949"/>
    </row>
    <row r="950" spans="21:21" x14ac:dyDescent="0.25">
      <c r="U950"/>
    </row>
    <row r="951" spans="21:21" x14ac:dyDescent="0.25">
      <c r="U951"/>
    </row>
    <row r="952" spans="21:21" x14ac:dyDescent="0.25">
      <c r="U952"/>
    </row>
    <row r="953" spans="21:21" x14ac:dyDescent="0.25">
      <c r="U953"/>
    </row>
    <row r="954" spans="21:21" x14ac:dyDescent="0.25">
      <c r="U954"/>
    </row>
    <row r="955" spans="21:21" x14ac:dyDescent="0.25">
      <c r="U955"/>
    </row>
    <row r="956" spans="21:21" x14ac:dyDescent="0.25">
      <c r="U956"/>
    </row>
    <row r="957" spans="21:21" x14ac:dyDescent="0.25">
      <c r="U957"/>
    </row>
    <row r="958" spans="21:21" x14ac:dyDescent="0.25">
      <c r="U958"/>
    </row>
    <row r="959" spans="21:21" x14ac:dyDescent="0.25">
      <c r="U959"/>
    </row>
    <row r="960" spans="21:21" x14ac:dyDescent="0.25">
      <c r="U960"/>
    </row>
    <row r="961" spans="21:21" x14ac:dyDescent="0.25">
      <c r="U961"/>
    </row>
    <row r="962" spans="21:21" x14ac:dyDescent="0.25">
      <c r="U962"/>
    </row>
    <row r="963" spans="21:21" x14ac:dyDescent="0.25">
      <c r="U963"/>
    </row>
    <row r="964" spans="21:21" x14ac:dyDescent="0.25">
      <c r="U964"/>
    </row>
    <row r="965" spans="21:21" x14ac:dyDescent="0.25">
      <c r="U965"/>
    </row>
    <row r="966" spans="21:21" x14ac:dyDescent="0.25">
      <c r="U966"/>
    </row>
    <row r="967" spans="21:21" x14ac:dyDescent="0.25">
      <c r="U967"/>
    </row>
    <row r="968" spans="21:21" x14ac:dyDescent="0.25">
      <c r="U968"/>
    </row>
    <row r="969" spans="21:21" x14ac:dyDescent="0.25">
      <c r="U969"/>
    </row>
    <row r="970" spans="21:21" x14ac:dyDescent="0.25">
      <c r="U970"/>
    </row>
    <row r="971" spans="21:21" x14ac:dyDescent="0.25">
      <c r="U971"/>
    </row>
    <row r="972" spans="21:21" x14ac:dyDescent="0.25">
      <c r="U972"/>
    </row>
    <row r="973" spans="21:21" x14ac:dyDescent="0.25">
      <c r="U973"/>
    </row>
    <row r="974" spans="21:21" x14ac:dyDescent="0.25">
      <c r="U974"/>
    </row>
    <row r="975" spans="21:21" x14ac:dyDescent="0.25">
      <c r="U975"/>
    </row>
    <row r="976" spans="21:21" x14ac:dyDescent="0.25">
      <c r="U976"/>
    </row>
    <row r="977" spans="21:21" x14ac:dyDescent="0.25">
      <c r="U977"/>
    </row>
    <row r="978" spans="21:21" x14ac:dyDescent="0.25">
      <c r="U978"/>
    </row>
    <row r="979" spans="21:21" x14ac:dyDescent="0.25">
      <c r="U979"/>
    </row>
    <row r="980" spans="21:21" x14ac:dyDescent="0.25">
      <c r="U980"/>
    </row>
    <row r="981" spans="21:21" x14ac:dyDescent="0.25">
      <c r="U981"/>
    </row>
    <row r="982" spans="21:21" x14ac:dyDescent="0.25">
      <c r="U982"/>
    </row>
    <row r="983" spans="21:21" x14ac:dyDescent="0.25">
      <c r="U983"/>
    </row>
    <row r="984" spans="21:21" x14ac:dyDescent="0.25">
      <c r="U984"/>
    </row>
    <row r="985" spans="21:21" x14ac:dyDescent="0.25">
      <c r="U985"/>
    </row>
    <row r="986" spans="21:21" x14ac:dyDescent="0.25">
      <c r="U986"/>
    </row>
    <row r="987" spans="21:21" x14ac:dyDescent="0.25">
      <c r="U987"/>
    </row>
    <row r="988" spans="21:21" x14ac:dyDescent="0.25">
      <c r="U988"/>
    </row>
    <row r="989" spans="21:21" x14ac:dyDescent="0.25">
      <c r="U989"/>
    </row>
    <row r="990" spans="21:21" x14ac:dyDescent="0.25">
      <c r="U990"/>
    </row>
    <row r="991" spans="21:21" x14ac:dyDescent="0.25">
      <c r="U991"/>
    </row>
    <row r="992" spans="21:21" x14ac:dyDescent="0.25">
      <c r="U992"/>
    </row>
    <row r="993" spans="21:21" x14ac:dyDescent="0.25">
      <c r="U993"/>
    </row>
    <row r="994" spans="21:21" x14ac:dyDescent="0.25">
      <c r="U994"/>
    </row>
    <row r="995" spans="21:21" x14ac:dyDescent="0.25">
      <c r="U995"/>
    </row>
    <row r="996" spans="21:21" x14ac:dyDescent="0.25">
      <c r="U996"/>
    </row>
    <row r="997" spans="21:21" x14ac:dyDescent="0.25">
      <c r="U997"/>
    </row>
    <row r="998" spans="21:21" x14ac:dyDescent="0.25">
      <c r="U998"/>
    </row>
    <row r="999" spans="21:21" x14ac:dyDescent="0.25">
      <c r="U999"/>
    </row>
    <row r="1000" spans="21:21" x14ac:dyDescent="0.25">
      <c r="U1000"/>
    </row>
    <row r="1001" spans="21:21" x14ac:dyDescent="0.25">
      <c r="U1001"/>
    </row>
    <row r="1002" spans="21:21" x14ac:dyDescent="0.25">
      <c r="U1002"/>
    </row>
    <row r="1003" spans="21:21" x14ac:dyDescent="0.25">
      <c r="U1003"/>
    </row>
    <row r="1004" spans="21:21" x14ac:dyDescent="0.25">
      <c r="U1004"/>
    </row>
    <row r="1005" spans="21:21" x14ac:dyDescent="0.25">
      <c r="U1005"/>
    </row>
    <row r="1006" spans="21:21" x14ac:dyDescent="0.25">
      <c r="U1006"/>
    </row>
    <row r="1007" spans="21:21" x14ac:dyDescent="0.25">
      <c r="U1007"/>
    </row>
    <row r="1008" spans="21:21" x14ac:dyDescent="0.25">
      <c r="U1008"/>
    </row>
    <row r="1009" spans="21:21" x14ac:dyDescent="0.25">
      <c r="U1009"/>
    </row>
    <row r="1010" spans="21:21" x14ac:dyDescent="0.25">
      <c r="U1010"/>
    </row>
    <row r="1011" spans="21:21" x14ac:dyDescent="0.25">
      <c r="U1011"/>
    </row>
    <row r="1012" spans="21:21" x14ac:dyDescent="0.25">
      <c r="U1012"/>
    </row>
    <row r="1013" spans="21:21" x14ac:dyDescent="0.25">
      <c r="U1013"/>
    </row>
    <row r="1014" spans="21:21" x14ac:dyDescent="0.25">
      <c r="U1014"/>
    </row>
    <row r="1015" spans="21:21" x14ac:dyDescent="0.25">
      <c r="U1015"/>
    </row>
    <row r="1016" spans="21:21" x14ac:dyDescent="0.25">
      <c r="U1016"/>
    </row>
    <row r="1017" spans="21:21" x14ac:dyDescent="0.25">
      <c r="U1017"/>
    </row>
    <row r="1018" spans="21:21" x14ac:dyDescent="0.25">
      <c r="U1018"/>
    </row>
    <row r="1019" spans="21:21" x14ac:dyDescent="0.25">
      <c r="U1019"/>
    </row>
    <row r="1020" spans="21:21" x14ac:dyDescent="0.25">
      <c r="U1020"/>
    </row>
    <row r="1021" spans="21:21" x14ac:dyDescent="0.25">
      <c r="U1021"/>
    </row>
    <row r="1022" spans="21:21" x14ac:dyDescent="0.25">
      <c r="U1022"/>
    </row>
    <row r="1023" spans="21:21" x14ac:dyDescent="0.25">
      <c r="U1023"/>
    </row>
    <row r="1024" spans="21:21" x14ac:dyDescent="0.25">
      <c r="U1024"/>
    </row>
    <row r="1025" spans="21:21" x14ac:dyDescent="0.25">
      <c r="U1025"/>
    </row>
    <row r="1026" spans="21:21" x14ac:dyDescent="0.25">
      <c r="U1026"/>
    </row>
    <row r="1027" spans="21:21" x14ac:dyDescent="0.25">
      <c r="U1027"/>
    </row>
    <row r="1028" spans="21:21" x14ac:dyDescent="0.25">
      <c r="U1028"/>
    </row>
    <row r="1029" spans="21:21" x14ac:dyDescent="0.25">
      <c r="U1029"/>
    </row>
    <row r="1030" spans="21:21" x14ac:dyDescent="0.25">
      <c r="U1030"/>
    </row>
    <row r="1031" spans="21:21" x14ac:dyDescent="0.25">
      <c r="U1031"/>
    </row>
    <row r="1032" spans="21:21" x14ac:dyDescent="0.25">
      <c r="U1032"/>
    </row>
    <row r="1033" spans="21:21" x14ac:dyDescent="0.25">
      <c r="U1033"/>
    </row>
    <row r="1034" spans="21:21" x14ac:dyDescent="0.25">
      <c r="U1034"/>
    </row>
    <row r="1035" spans="21:21" x14ac:dyDescent="0.25">
      <c r="U1035"/>
    </row>
    <row r="1036" spans="21:21" x14ac:dyDescent="0.25">
      <c r="U1036"/>
    </row>
    <row r="1037" spans="21:21" x14ac:dyDescent="0.25">
      <c r="U1037"/>
    </row>
    <row r="1038" spans="21:21" x14ac:dyDescent="0.25">
      <c r="U1038"/>
    </row>
    <row r="1039" spans="21:21" x14ac:dyDescent="0.25">
      <c r="U1039"/>
    </row>
    <row r="1040" spans="21:21" x14ac:dyDescent="0.25">
      <c r="U1040"/>
    </row>
    <row r="1041" spans="21:21" x14ac:dyDescent="0.25">
      <c r="U1041"/>
    </row>
    <row r="1042" spans="21:21" x14ac:dyDescent="0.25">
      <c r="U1042"/>
    </row>
    <row r="1043" spans="21:21" x14ac:dyDescent="0.25">
      <c r="U1043"/>
    </row>
    <row r="1044" spans="21:21" x14ac:dyDescent="0.25">
      <c r="U1044"/>
    </row>
    <row r="1045" spans="21:21" x14ac:dyDescent="0.25">
      <c r="U1045"/>
    </row>
    <row r="1046" spans="21:21" x14ac:dyDescent="0.25">
      <c r="U1046"/>
    </row>
    <row r="1047" spans="21:21" x14ac:dyDescent="0.25">
      <c r="U1047"/>
    </row>
    <row r="1048" spans="21:21" x14ac:dyDescent="0.25">
      <c r="U1048"/>
    </row>
    <row r="1049" spans="21:21" x14ac:dyDescent="0.25">
      <c r="U1049"/>
    </row>
    <row r="1050" spans="21:21" x14ac:dyDescent="0.25">
      <c r="U1050"/>
    </row>
    <row r="1051" spans="21:21" x14ac:dyDescent="0.25">
      <c r="U1051"/>
    </row>
    <row r="1052" spans="21:21" x14ac:dyDescent="0.25">
      <c r="U1052"/>
    </row>
    <row r="1053" spans="21:21" x14ac:dyDescent="0.25">
      <c r="U1053"/>
    </row>
    <row r="1054" spans="21:21" x14ac:dyDescent="0.25">
      <c r="U1054"/>
    </row>
    <row r="1055" spans="21:21" x14ac:dyDescent="0.25">
      <c r="U1055"/>
    </row>
    <row r="1056" spans="21:21" x14ac:dyDescent="0.25">
      <c r="U1056"/>
    </row>
    <row r="1057" spans="21:21" x14ac:dyDescent="0.25">
      <c r="U1057"/>
    </row>
    <row r="1058" spans="21:21" x14ac:dyDescent="0.25">
      <c r="U1058"/>
    </row>
    <row r="1059" spans="21:21" x14ac:dyDescent="0.25">
      <c r="U1059"/>
    </row>
    <row r="1060" spans="21:21" x14ac:dyDescent="0.25">
      <c r="U1060"/>
    </row>
    <row r="1061" spans="21:21" x14ac:dyDescent="0.25">
      <c r="U1061"/>
    </row>
    <row r="1062" spans="21:21" x14ac:dyDescent="0.25">
      <c r="U1062"/>
    </row>
    <row r="1063" spans="21:21" x14ac:dyDescent="0.25">
      <c r="U1063"/>
    </row>
    <row r="1064" spans="21:21" x14ac:dyDescent="0.25">
      <c r="U1064"/>
    </row>
    <row r="1065" spans="21:21" x14ac:dyDescent="0.25">
      <c r="U1065"/>
    </row>
    <row r="1066" spans="21:21" x14ac:dyDescent="0.25">
      <c r="U1066"/>
    </row>
    <row r="1067" spans="21:21" x14ac:dyDescent="0.25">
      <c r="U1067"/>
    </row>
    <row r="1068" spans="21:21" x14ac:dyDescent="0.25">
      <c r="U1068"/>
    </row>
    <row r="1069" spans="21:21" x14ac:dyDescent="0.25">
      <c r="U1069"/>
    </row>
    <row r="1070" spans="21:21" x14ac:dyDescent="0.25">
      <c r="U1070"/>
    </row>
    <row r="1071" spans="21:21" x14ac:dyDescent="0.25">
      <c r="U1071"/>
    </row>
    <row r="1072" spans="21:21" x14ac:dyDescent="0.25">
      <c r="U1072"/>
    </row>
    <row r="1073" spans="21:21" x14ac:dyDescent="0.25">
      <c r="U1073"/>
    </row>
    <row r="1074" spans="21:21" x14ac:dyDescent="0.25">
      <c r="U1074"/>
    </row>
    <row r="1075" spans="21:21" x14ac:dyDescent="0.25">
      <c r="U1075"/>
    </row>
    <row r="1076" spans="21:21" x14ac:dyDescent="0.25">
      <c r="U1076"/>
    </row>
    <row r="1077" spans="21:21" x14ac:dyDescent="0.25">
      <c r="U1077"/>
    </row>
    <row r="1078" spans="21:21" x14ac:dyDescent="0.25">
      <c r="U1078"/>
    </row>
    <row r="1079" spans="21:21" x14ac:dyDescent="0.25">
      <c r="U1079"/>
    </row>
    <row r="1080" spans="21:21" x14ac:dyDescent="0.25">
      <c r="U1080"/>
    </row>
    <row r="1081" spans="21:21" x14ac:dyDescent="0.25">
      <c r="U1081"/>
    </row>
    <row r="1082" spans="21:21" x14ac:dyDescent="0.25">
      <c r="U1082"/>
    </row>
    <row r="1083" spans="21:21" x14ac:dyDescent="0.25">
      <c r="U1083"/>
    </row>
    <row r="1084" spans="21:21" x14ac:dyDescent="0.25">
      <c r="U1084"/>
    </row>
    <row r="1085" spans="21:21" x14ac:dyDescent="0.25">
      <c r="U1085"/>
    </row>
    <row r="1086" spans="21:21" x14ac:dyDescent="0.25">
      <c r="U1086"/>
    </row>
    <row r="1087" spans="21:21" x14ac:dyDescent="0.25">
      <c r="U1087"/>
    </row>
    <row r="1088" spans="21:21" x14ac:dyDescent="0.25">
      <c r="U1088"/>
    </row>
    <row r="1089" spans="21:21" x14ac:dyDescent="0.25">
      <c r="U1089"/>
    </row>
    <row r="1090" spans="21:21" x14ac:dyDescent="0.25">
      <c r="U1090"/>
    </row>
    <row r="1091" spans="21:21" x14ac:dyDescent="0.25">
      <c r="U1091"/>
    </row>
    <row r="1092" spans="21:21" x14ac:dyDescent="0.25">
      <c r="U1092"/>
    </row>
    <row r="1093" spans="21:21" x14ac:dyDescent="0.25">
      <c r="U1093"/>
    </row>
    <row r="1094" spans="21:21" x14ac:dyDescent="0.25">
      <c r="U1094"/>
    </row>
    <row r="1095" spans="21:21" x14ac:dyDescent="0.25">
      <c r="U1095"/>
    </row>
    <row r="1096" spans="21:21" x14ac:dyDescent="0.25">
      <c r="U1096"/>
    </row>
    <row r="1097" spans="21:21" x14ac:dyDescent="0.25">
      <c r="U1097"/>
    </row>
    <row r="1098" spans="21:21" x14ac:dyDescent="0.25">
      <c r="U1098"/>
    </row>
    <row r="1099" spans="21:21" x14ac:dyDescent="0.25">
      <c r="U1099"/>
    </row>
    <row r="1100" spans="21:21" x14ac:dyDescent="0.25">
      <c r="U1100"/>
    </row>
    <row r="1101" spans="21:21" x14ac:dyDescent="0.25">
      <c r="U1101"/>
    </row>
    <row r="1102" spans="21:21" x14ac:dyDescent="0.25">
      <c r="U1102"/>
    </row>
    <row r="1103" spans="21:21" x14ac:dyDescent="0.25">
      <c r="U1103"/>
    </row>
    <row r="1104" spans="21:21" x14ac:dyDescent="0.25">
      <c r="U1104"/>
    </row>
    <row r="1105" spans="21:21" x14ac:dyDescent="0.25">
      <c r="U1105"/>
    </row>
    <row r="1106" spans="21:21" x14ac:dyDescent="0.25">
      <c r="U1106"/>
    </row>
    <row r="1107" spans="21:21" x14ac:dyDescent="0.25">
      <c r="U1107"/>
    </row>
    <row r="1108" spans="21:21" x14ac:dyDescent="0.25">
      <c r="U1108"/>
    </row>
    <row r="1109" spans="21:21" x14ac:dyDescent="0.25">
      <c r="U1109"/>
    </row>
    <row r="1110" spans="21:21" x14ac:dyDescent="0.25">
      <c r="U1110"/>
    </row>
    <row r="1111" spans="21:21" x14ac:dyDescent="0.25">
      <c r="U1111"/>
    </row>
    <row r="1112" spans="21:21" x14ac:dyDescent="0.25">
      <c r="U1112"/>
    </row>
    <row r="1113" spans="21:21" x14ac:dyDescent="0.25">
      <c r="U1113"/>
    </row>
    <row r="1114" spans="21:21" x14ac:dyDescent="0.25">
      <c r="U1114"/>
    </row>
    <row r="1115" spans="21:21" x14ac:dyDescent="0.25">
      <c r="U1115"/>
    </row>
    <row r="1116" spans="21:21" x14ac:dyDescent="0.25">
      <c r="U1116"/>
    </row>
    <row r="1117" spans="21:21" x14ac:dyDescent="0.25">
      <c r="U1117"/>
    </row>
    <row r="1118" spans="21:21" x14ac:dyDescent="0.25">
      <c r="U1118"/>
    </row>
    <row r="1119" spans="21:21" x14ac:dyDescent="0.25">
      <c r="U1119"/>
    </row>
    <row r="1120" spans="21:21" x14ac:dyDescent="0.25">
      <c r="U1120"/>
    </row>
    <row r="1121" spans="21:21" x14ac:dyDescent="0.25">
      <c r="U1121"/>
    </row>
    <row r="1122" spans="21:21" x14ac:dyDescent="0.25">
      <c r="U1122"/>
    </row>
    <row r="1123" spans="21:21" x14ac:dyDescent="0.25">
      <c r="U1123"/>
    </row>
    <row r="1124" spans="21:21" x14ac:dyDescent="0.25">
      <c r="U1124"/>
    </row>
    <row r="1125" spans="21:21" x14ac:dyDescent="0.25">
      <c r="U1125"/>
    </row>
    <row r="1126" spans="21:21" x14ac:dyDescent="0.25">
      <c r="U1126"/>
    </row>
    <row r="1127" spans="21:21" x14ac:dyDescent="0.25">
      <c r="U1127"/>
    </row>
    <row r="1128" spans="21:21" x14ac:dyDescent="0.25">
      <c r="U1128"/>
    </row>
    <row r="1129" spans="21:21" x14ac:dyDescent="0.25">
      <c r="U1129"/>
    </row>
    <row r="1130" spans="21:21" x14ac:dyDescent="0.25">
      <c r="U1130"/>
    </row>
    <row r="1131" spans="21:21" x14ac:dyDescent="0.25">
      <c r="U1131"/>
    </row>
    <row r="1132" spans="21:21" x14ac:dyDescent="0.25">
      <c r="U1132"/>
    </row>
    <row r="1133" spans="21:21" x14ac:dyDescent="0.25">
      <c r="U1133"/>
    </row>
    <row r="1134" spans="21:21" x14ac:dyDescent="0.25">
      <c r="U1134"/>
    </row>
    <row r="1135" spans="21:21" x14ac:dyDescent="0.25">
      <c r="U1135"/>
    </row>
    <row r="1136" spans="21:21" x14ac:dyDescent="0.25">
      <c r="U1136"/>
    </row>
    <row r="1137" spans="21:21" x14ac:dyDescent="0.25">
      <c r="U1137"/>
    </row>
    <row r="1138" spans="21:21" x14ac:dyDescent="0.25">
      <c r="U1138"/>
    </row>
    <row r="1139" spans="21:21" x14ac:dyDescent="0.25">
      <c r="U1139"/>
    </row>
    <row r="1140" spans="21:21" x14ac:dyDescent="0.25">
      <c r="U1140"/>
    </row>
    <row r="1141" spans="21:21" x14ac:dyDescent="0.25">
      <c r="U1141"/>
    </row>
    <row r="1142" spans="21:21" x14ac:dyDescent="0.25">
      <c r="U1142"/>
    </row>
    <row r="1143" spans="21:21" x14ac:dyDescent="0.25">
      <c r="U1143"/>
    </row>
    <row r="1144" spans="21:21" x14ac:dyDescent="0.25">
      <c r="U1144"/>
    </row>
    <row r="1145" spans="21:21" x14ac:dyDescent="0.25">
      <c r="U1145"/>
    </row>
    <row r="1146" spans="21:21" x14ac:dyDescent="0.25">
      <c r="U1146"/>
    </row>
    <row r="1147" spans="21:21" x14ac:dyDescent="0.25">
      <c r="U1147"/>
    </row>
    <row r="1148" spans="21:21" x14ac:dyDescent="0.25">
      <c r="U1148"/>
    </row>
    <row r="1149" spans="21:21" x14ac:dyDescent="0.25">
      <c r="U1149"/>
    </row>
    <row r="1150" spans="21:21" x14ac:dyDescent="0.25">
      <c r="U1150"/>
    </row>
    <row r="1151" spans="21:21" x14ac:dyDescent="0.25">
      <c r="U1151"/>
    </row>
    <row r="1152" spans="21:21" x14ac:dyDescent="0.25">
      <c r="U1152"/>
    </row>
    <row r="1153" spans="21:21" x14ac:dyDescent="0.25">
      <c r="U1153"/>
    </row>
    <row r="1154" spans="21:21" x14ac:dyDescent="0.25">
      <c r="U1154"/>
    </row>
    <row r="1155" spans="21:21" x14ac:dyDescent="0.25">
      <c r="U1155"/>
    </row>
    <row r="1156" spans="21:21" x14ac:dyDescent="0.25">
      <c r="U1156"/>
    </row>
    <row r="1157" spans="21:21" x14ac:dyDescent="0.25">
      <c r="U1157"/>
    </row>
    <row r="1158" spans="21:21" x14ac:dyDescent="0.25">
      <c r="U1158"/>
    </row>
    <row r="1159" spans="21:21" x14ac:dyDescent="0.25">
      <c r="U1159"/>
    </row>
    <row r="1160" spans="21:21" x14ac:dyDescent="0.25">
      <c r="U1160"/>
    </row>
    <row r="1161" spans="21:21" x14ac:dyDescent="0.25">
      <c r="U1161"/>
    </row>
    <row r="1162" spans="21:21" x14ac:dyDescent="0.25">
      <c r="U1162"/>
    </row>
    <row r="1163" spans="21:21" x14ac:dyDescent="0.25">
      <c r="U1163"/>
    </row>
    <row r="1164" spans="21:21" x14ac:dyDescent="0.25">
      <c r="U1164"/>
    </row>
    <row r="1165" spans="21:21" x14ac:dyDescent="0.25">
      <c r="U1165"/>
    </row>
    <row r="1166" spans="21:21" x14ac:dyDescent="0.25">
      <c r="U1166"/>
    </row>
    <row r="1167" spans="21:21" x14ac:dyDescent="0.25">
      <c r="U1167"/>
    </row>
    <row r="1168" spans="21:21" x14ac:dyDescent="0.25">
      <c r="U1168"/>
    </row>
    <row r="1169" spans="21:21" x14ac:dyDescent="0.25">
      <c r="U1169"/>
    </row>
    <row r="1170" spans="21:21" x14ac:dyDescent="0.25">
      <c r="U1170"/>
    </row>
    <row r="1171" spans="21:21" x14ac:dyDescent="0.25">
      <c r="U1171"/>
    </row>
    <row r="1172" spans="21:21" x14ac:dyDescent="0.25">
      <c r="U1172"/>
    </row>
    <row r="1173" spans="21:21" x14ac:dyDescent="0.25">
      <c r="U1173"/>
    </row>
    <row r="1174" spans="21:21" x14ac:dyDescent="0.25">
      <c r="U1174"/>
    </row>
    <row r="1175" spans="21:21" x14ac:dyDescent="0.25">
      <c r="U1175"/>
    </row>
    <row r="1176" spans="21:21" x14ac:dyDescent="0.25">
      <c r="U1176"/>
    </row>
    <row r="1177" spans="21:21" x14ac:dyDescent="0.25">
      <c r="U1177"/>
    </row>
    <row r="1178" spans="21:21" x14ac:dyDescent="0.25">
      <c r="U1178"/>
    </row>
    <row r="1179" spans="21:21" x14ac:dyDescent="0.25">
      <c r="U1179"/>
    </row>
    <row r="1180" spans="21:21" x14ac:dyDescent="0.25">
      <c r="U1180"/>
    </row>
    <row r="1181" spans="21:21" x14ac:dyDescent="0.25">
      <c r="U1181"/>
    </row>
    <row r="1182" spans="21:21" x14ac:dyDescent="0.25">
      <c r="U1182"/>
    </row>
    <row r="1183" spans="21:21" x14ac:dyDescent="0.25">
      <c r="U1183"/>
    </row>
    <row r="1184" spans="21:21" x14ac:dyDescent="0.25">
      <c r="U1184"/>
    </row>
    <row r="1185" spans="21:21" x14ac:dyDescent="0.25">
      <c r="U1185"/>
    </row>
    <row r="1186" spans="21:21" x14ac:dyDescent="0.25">
      <c r="U1186"/>
    </row>
    <row r="1187" spans="21:21" x14ac:dyDescent="0.25">
      <c r="U1187"/>
    </row>
    <row r="1188" spans="21:21" x14ac:dyDescent="0.25">
      <c r="U1188"/>
    </row>
    <row r="1189" spans="21:21" x14ac:dyDescent="0.25">
      <c r="U1189"/>
    </row>
    <row r="1190" spans="21:21" x14ac:dyDescent="0.25">
      <c r="U1190"/>
    </row>
    <row r="1191" spans="21:21" x14ac:dyDescent="0.25">
      <c r="U1191"/>
    </row>
    <row r="1192" spans="21:21" x14ac:dyDescent="0.25">
      <c r="U1192"/>
    </row>
    <row r="1193" spans="21:21" x14ac:dyDescent="0.25">
      <c r="U1193"/>
    </row>
    <row r="1194" spans="21:21" x14ac:dyDescent="0.25">
      <c r="U1194"/>
    </row>
    <row r="1195" spans="21:21" x14ac:dyDescent="0.25">
      <c r="U1195"/>
    </row>
    <row r="1196" spans="21:21" x14ac:dyDescent="0.25">
      <c r="U1196"/>
    </row>
    <row r="1197" spans="21:21" x14ac:dyDescent="0.25">
      <c r="U1197"/>
    </row>
    <row r="1198" spans="21:21" x14ac:dyDescent="0.25">
      <c r="U1198"/>
    </row>
    <row r="1199" spans="21:21" x14ac:dyDescent="0.25">
      <c r="U1199"/>
    </row>
    <row r="1200" spans="21:21" x14ac:dyDescent="0.25">
      <c r="U1200"/>
    </row>
    <row r="1201" spans="21:21" x14ac:dyDescent="0.25">
      <c r="U1201"/>
    </row>
    <row r="1202" spans="21:21" x14ac:dyDescent="0.25">
      <c r="U1202"/>
    </row>
    <row r="1203" spans="21:21" x14ac:dyDescent="0.25">
      <c r="U1203"/>
    </row>
    <row r="1204" spans="21:21" x14ac:dyDescent="0.25">
      <c r="U1204"/>
    </row>
    <row r="1205" spans="21:21" x14ac:dyDescent="0.25">
      <c r="U1205"/>
    </row>
    <row r="1206" spans="21:21" x14ac:dyDescent="0.25">
      <c r="U1206"/>
    </row>
    <row r="1207" spans="21:21" x14ac:dyDescent="0.25">
      <c r="U1207"/>
    </row>
    <row r="1208" spans="21:21" x14ac:dyDescent="0.25">
      <c r="U1208"/>
    </row>
    <row r="1209" spans="21:21" x14ac:dyDescent="0.25">
      <c r="U1209"/>
    </row>
    <row r="1210" spans="21:21" x14ac:dyDescent="0.25">
      <c r="U1210"/>
    </row>
    <row r="1211" spans="21:21" x14ac:dyDescent="0.25">
      <c r="U1211"/>
    </row>
    <row r="1212" spans="21:21" x14ac:dyDescent="0.25">
      <c r="U1212"/>
    </row>
    <row r="1213" spans="21:21" x14ac:dyDescent="0.25">
      <c r="U1213"/>
    </row>
    <row r="1214" spans="21:21" x14ac:dyDescent="0.25">
      <c r="U1214"/>
    </row>
    <row r="1215" spans="21:21" x14ac:dyDescent="0.25">
      <c r="U1215"/>
    </row>
    <row r="1216" spans="21:21" x14ac:dyDescent="0.25">
      <c r="U1216"/>
    </row>
    <row r="1217" spans="21:21" x14ac:dyDescent="0.25">
      <c r="U1217"/>
    </row>
    <row r="1218" spans="21:21" x14ac:dyDescent="0.25">
      <c r="U1218"/>
    </row>
    <row r="1219" spans="21:21" x14ac:dyDescent="0.25">
      <c r="U1219"/>
    </row>
    <row r="1220" spans="21:21" x14ac:dyDescent="0.25">
      <c r="U1220"/>
    </row>
    <row r="1221" spans="21:21" x14ac:dyDescent="0.25">
      <c r="U1221"/>
    </row>
    <row r="1222" spans="21:21" x14ac:dyDescent="0.25">
      <c r="U1222"/>
    </row>
    <row r="1223" spans="21:21" x14ac:dyDescent="0.25">
      <c r="U1223"/>
    </row>
    <row r="1224" spans="21:21" x14ac:dyDescent="0.25">
      <c r="U1224"/>
    </row>
    <row r="1225" spans="21:21" x14ac:dyDescent="0.25">
      <c r="U1225"/>
    </row>
    <row r="1226" spans="21:21" x14ac:dyDescent="0.25">
      <c r="U1226"/>
    </row>
    <row r="1227" spans="21:21" x14ac:dyDescent="0.25">
      <c r="U1227"/>
    </row>
    <row r="1228" spans="21:21" x14ac:dyDescent="0.25">
      <c r="U1228"/>
    </row>
    <row r="1229" spans="21:21" x14ac:dyDescent="0.25">
      <c r="U1229"/>
    </row>
    <row r="1230" spans="21:21" x14ac:dyDescent="0.25">
      <c r="U1230"/>
    </row>
    <row r="1231" spans="21:21" x14ac:dyDescent="0.25">
      <c r="U1231"/>
    </row>
    <row r="1232" spans="21:21" x14ac:dyDescent="0.25">
      <c r="U1232"/>
    </row>
    <row r="1233" spans="21:21" x14ac:dyDescent="0.25">
      <c r="U1233"/>
    </row>
    <row r="1234" spans="21:21" x14ac:dyDescent="0.25">
      <c r="U1234"/>
    </row>
    <row r="1235" spans="21:21" x14ac:dyDescent="0.25">
      <c r="U1235"/>
    </row>
    <row r="1236" spans="21:21" x14ac:dyDescent="0.25">
      <c r="U1236"/>
    </row>
    <row r="1237" spans="21:21" x14ac:dyDescent="0.25">
      <c r="U1237"/>
    </row>
    <row r="1238" spans="21:21" x14ac:dyDescent="0.25">
      <c r="U1238"/>
    </row>
    <row r="1239" spans="21:21" x14ac:dyDescent="0.25">
      <c r="U1239"/>
    </row>
    <row r="1240" spans="21:21" x14ac:dyDescent="0.25">
      <c r="U1240"/>
    </row>
    <row r="1241" spans="21:21" x14ac:dyDescent="0.25">
      <c r="U1241"/>
    </row>
    <row r="1242" spans="21:21" x14ac:dyDescent="0.25">
      <c r="U1242"/>
    </row>
    <row r="1243" spans="21:21" x14ac:dyDescent="0.25">
      <c r="U1243"/>
    </row>
    <row r="1244" spans="21:21" x14ac:dyDescent="0.25">
      <c r="U1244"/>
    </row>
    <row r="1245" spans="21:21" x14ac:dyDescent="0.25">
      <c r="U1245"/>
    </row>
    <row r="1246" spans="21:21" x14ac:dyDescent="0.25">
      <c r="U1246"/>
    </row>
    <row r="1247" spans="21:21" x14ac:dyDescent="0.25">
      <c r="U1247"/>
    </row>
    <row r="1248" spans="21:21" x14ac:dyDescent="0.25">
      <c r="U1248"/>
    </row>
    <row r="1249" spans="21:21" x14ac:dyDescent="0.25">
      <c r="U1249"/>
    </row>
    <row r="1250" spans="21:21" x14ac:dyDescent="0.25">
      <c r="U1250"/>
    </row>
    <row r="1251" spans="21:21" x14ac:dyDescent="0.25">
      <c r="U1251"/>
    </row>
    <row r="1252" spans="21:21" x14ac:dyDescent="0.25">
      <c r="U1252"/>
    </row>
    <row r="1253" spans="21:21" x14ac:dyDescent="0.25">
      <c r="U1253"/>
    </row>
    <row r="1254" spans="21:21" x14ac:dyDescent="0.25">
      <c r="U1254"/>
    </row>
    <row r="1255" spans="21:21" x14ac:dyDescent="0.25">
      <c r="U1255"/>
    </row>
    <row r="1256" spans="21:21" x14ac:dyDescent="0.25">
      <c r="U1256"/>
    </row>
    <row r="1257" spans="21:21" x14ac:dyDescent="0.25">
      <c r="U1257"/>
    </row>
    <row r="1258" spans="21:21" x14ac:dyDescent="0.25">
      <c r="U1258"/>
    </row>
    <row r="1259" spans="21:21" x14ac:dyDescent="0.25">
      <c r="U1259"/>
    </row>
    <row r="1260" spans="21:21" x14ac:dyDescent="0.25">
      <c r="U1260"/>
    </row>
    <row r="1261" spans="21:21" x14ac:dyDescent="0.25">
      <c r="U1261"/>
    </row>
    <row r="1262" spans="21:21" x14ac:dyDescent="0.25">
      <c r="U1262"/>
    </row>
    <row r="1263" spans="21:21" x14ac:dyDescent="0.25">
      <c r="U1263"/>
    </row>
    <row r="1264" spans="21:21" x14ac:dyDescent="0.25">
      <c r="U1264"/>
    </row>
    <row r="1265" spans="21:21" x14ac:dyDescent="0.25">
      <c r="U1265"/>
    </row>
    <row r="1266" spans="21:21" x14ac:dyDescent="0.25">
      <c r="U1266"/>
    </row>
    <row r="1267" spans="21:21" x14ac:dyDescent="0.25">
      <c r="U1267"/>
    </row>
    <row r="1268" spans="21:21" x14ac:dyDescent="0.25">
      <c r="U1268"/>
    </row>
    <row r="1269" spans="21:21" x14ac:dyDescent="0.25">
      <c r="U1269"/>
    </row>
    <row r="1270" spans="21:21" x14ac:dyDescent="0.25">
      <c r="U1270"/>
    </row>
    <row r="1271" spans="21:21" x14ac:dyDescent="0.25">
      <c r="U1271"/>
    </row>
    <row r="1272" spans="21:21" x14ac:dyDescent="0.25">
      <c r="U1272"/>
    </row>
    <row r="1273" spans="21:21" x14ac:dyDescent="0.25">
      <c r="U1273"/>
    </row>
    <row r="1274" spans="21:21" x14ac:dyDescent="0.25">
      <c r="U1274"/>
    </row>
    <row r="1275" spans="21:21" x14ac:dyDescent="0.25">
      <c r="U1275"/>
    </row>
    <row r="1276" spans="21:21" x14ac:dyDescent="0.25">
      <c r="U1276"/>
    </row>
    <row r="1277" spans="21:21" x14ac:dyDescent="0.25">
      <c r="U1277"/>
    </row>
    <row r="1278" spans="21:21" x14ac:dyDescent="0.25">
      <c r="U1278"/>
    </row>
    <row r="1279" spans="21:21" x14ac:dyDescent="0.25">
      <c r="U1279"/>
    </row>
    <row r="1280" spans="21:21" x14ac:dyDescent="0.25">
      <c r="U1280"/>
    </row>
    <row r="1281" spans="21:21" x14ac:dyDescent="0.25">
      <c r="U1281"/>
    </row>
    <row r="1282" spans="21:21" x14ac:dyDescent="0.25">
      <c r="U1282"/>
    </row>
    <row r="1283" spans="21:21" x14ac:dyDescent="0.25">
      <c r="U1283"/>
    </row>
    <row r="1284" spans="21:21" x14ac:dyDescent="0.25">
      <c r="U1284"/>
    </row>
    <row r="1285" spans="21:21" x14ac:dyDescent="0.25">
      <c r="U1285"/>
    </row>
  </sheetData>
  <pageMargins left="0.70866141732283472" right="0.70866141732283472" top="0.78740157480314965" bottom="0.78740157480314965" header="0.31496062992125984" footer="0.31496062992125984"/>
  <pageSetup paperSize="9" scale="80" orientation="landscape" r:id="rId1"/>
  <ignoredErrors>
    <ignoredError sqref="G12 G17" formula="1"/>
  </ignoredError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351"/>
  <sheetViews>
    <sheetView zoomScaleNormal="100" workbookViewId="0">
      <pane ySplit="3" topLeftCell="A76" activePane="bottomLeft" state="frozen"/>
      <selection activeCell="J156" sqref="J156"/>
      <selection pane="bottomLeft" activeCell="J156" sqref="J156"/>
    </sheetView>
  </sheetViews>
  <sheetFormatPr baseColWidth="10" defaultColWidth="11.44140625" defaultRowHeight="11.4" x14ac:dyDescent="0.2"/>
  <cols>
    <col min="1" max="1" width="12.33203125" style="12" customWidth="1"/>
    <col min="2" max="2" width="33.88671875" style="12" customWidth="1"/>
    <col min="3" max="3" width="17" style="13" customWidth="1"/>
    <col min="4" max="4" width="15.33203125" style="13" customWidth="1"/>
    <col min="5" max="5" width="17" style="13" customWidth="1"/>
    <col min="6" max="6" width="4" style="12" customWidth="1"/>
    <col min="7" max="7" width="14.88671875" style="14" customWidth="1"/>
    <col min="8" max="8" width="13.88671875" style="14" customWidth="1"/>
    <col min="9" max="9" width="9.109375" style="14" customWidth="1"/>
    <col min="10" max="10" width="17" style="13" customWidth="1"/>
    <col min="11" max="12" width="9.88671875" style="13" customWidth="1"/>
    <col min="13" max="13" width="17" style="13" customWidth="1"/>
    <col min="14" max="14" width="4" style="12" customWidth="1"/>
    <col min="15" max="15" width="14.88671875" style="14" customWidth="1"/>
    <col min="16" max="16" width="13.88671875" style="14" customWidth="1"/>
    <col min="17" max="17" width="11.44140625" style="106" customWidth="1"/>
    <col min="18" max="18" width="11.44140625" style="12" hidden="1" customWidth="1"/>
    <col min="19" max="19" width="11.44140625" style="12" customWidth="1"/>
    <col min="20" max="20" width="23.6640625" style="12" customWidth="1"/>
    <col min="21" max="21" width="7.33203125" style="12" customWidth="1"/>
    <col min="22" max="24" width="11.44140625" style="12" customWidth="1"/>
    <col min="25" max="25" width="31.109375" style="12" customWidth="1"/>
    <col min="26" max="26" width="13.33203125" style="12" customWidth="1"/>
    <col min="27" max="27" width="11.44140625" style="12" customWidth="1"/>
    <col min="28" max="29" width="11.44140625" style="12"/>
    <col min="30" max="30" width="13.33203125" style="12" bestFit="1" customWidth="1"/>
    <col min="31" max="31" width="11.44140625" style="12"/>
    <col min="32" max="32" width="12.88671875" style="12" bestFit="1" customWidth="1"/>
    <col min="33" max="16384" width="11.44140625" style="12"/>
  </cols>
  <sheetData>
    <row r="1" spans="1:32" ht="24" x14ac:dyDescent="0.3">
      <c r="A1" s="123" t="s">
        <v>78</v>
      </c>
      <c r="G1" s="114"/>
      <c r="H1" s="136" t="s">
        <v>231</v>
      </c>
      <c r="J1" s="141" t="s">
        <v>234</v>
      </c>
      <c r="O1" s="114"/>
      <c r="P1" s="136" t="s">
        <v>233</v>
      </c>
      <c r="R1" s="111"/>
    </row>
    <row r="2" spans="1:32" ht="12" x14ac:dyDescent="0.25">
      <c r="A2" s="15" t="s">
        <v>239</v>
      </c>
      <c r="C2" s="99" t="s">
        <v>223</v>
      </c>
      <c r="D2" s="99" t="s">
        <v>54</v>
      </c>
      <c r="G2" s="99" t="s">
        <v>54</v>
      </c>
      <c r="H2" s="99" t="s">
        <v>53</v>
      </c>
      <c r="J2" s="99" t="s">
        <v>223</v>
      </c>
      <c r="K2" s="99" t="s">
        <v>54</v>
      </c>
      <c r="L2" s="99" t="s">
        <v>257</v>
      </c>
      <c r="M2" s="99" t="s">
        <v>258</v>
      </c>
      <c r="O2" s="99" t="s">
        <v>54</v>
      </c>
      <c r="P2" s="99" t="s">
        <v>53</v>
      </c>
      <c r="R2" s="143" t="s">
        <v>232</v>
      </c>
    </row>
    <row r="3" spans="1:32" ht="12" x14ac:dyDescent="0.25">
      <c r="A3" s="15" t="s">
        <v>86</v>
      </c>
      <c r="E3" s="115" t="s">
        <v>42</v>
      </c>
      <c r="G3" s="27">
        <f>+'Personalkost ON pr febr'!B62</f>
        <v>0.90051020408163263</v>
      </c>
      <c r="H3" s="27">
        <f>'Personalkost ON pr febr'!B61</f>
        <v>9.9489795918367346E-2</v>
      </c>
      <c r="I3" s="27"/>
      <c r="M3" s="115"/>
      <c r="O3" s="27">
        <f>+'Personalkost ON pr mars'!B62</f>
        <v>0.91581632653061229</v>
      </c>
      <c r="P3" s="27">
        <f>+'Personalkost ON pr mars'!B61</f>
        <v>8.4183673469387751E-2</v>
      </c>
      <c r="R3" s="20"/>
    </row>
    <row r="4" spans="1:32" ht="12" x14ac:dyDescent="0.25">
      <c r="G4" s="17" t="s">
        <v>52</v>
      </c>
      <c r="H4" s="97" t="s">
        <v>51</v>
      </c>
      <c r="I4" s="84"/>
      <c r="O4" s="17" t="s">
        <v>52</v>
      </c>
      <c r="P4" s="17" t="s">
        <v>51</v>
      </c>
      <c r="R4" s="20"/>
    </row>
    <row r="5" spans="1:32" ht="12" x14ac:dyDescent="0.25">
      <c r="G5" s="17"/>
      <c r="H5" s="97"/>
      <c r="I5" s="84"/>
      <c r="O5" s="17"/>
      <c r="P5" s="17"/>
      <c r="R5" s="20"/>
    </row>
    <row r="6" spans="1:32" ht="13.2" x14ac:dyDescent="0.25">
      <c r="A6" s="40">
        <v>30601</v>
      </c>
      <c r="B6" s="110" t="s">
        <v>215</v>
      </c>
      <c r="C6" s="94">
        <v>-2963196.3</v>
      </c>
      <c r="D6" s="87"/>
      <c r="E6" s="87">
        <f>+C6-D6</f>
        <v>-2963196.3</v>
      </c>
      <c r="G6" s="16"/>
      <c r="H6" s="98">
        <f>+E6</f>
        <v>-2963196.3</v>
      </c>
      <c r="I6" s="85"/>
      <c r="J6" s="144">
        <v>-5470084.6500000004</v>
      </c>
      <c r="K6" s="87"/>
      <c r="L6" s="87"/>
      <c r="M6" s="87">
        <f>+J6-K6-L6</f>
        <v>-5470084.6500000004</v>
      </c>
      <c r="O6" s="16"/>
      <c r="P6" s="180">
        <f>+M6</f>
        <v>-5470084.6500000004</v>
      </c>
      <c r="R6" s="139">
        <f>+P6-H6</f>
        <v>-2506888.3500000006</v>
      </c>
      <c r="X6"/>
      <c r="Y6"/>
      <c r="Z6" s="144"/>
    </row>
    <row r="7" spans="1:32" ht="13.2" x14ac:dyDescent="0.25">
      <c r="A7" s="40">
        <v>30602</v>
      </c>
      <c r="B7" s="110" t="s">
        <v>216</v>
      </c>
      <c r="C7" s="94">
        <v>-2400</v>
      </c>
      <c r="D7" s="87"/>
      <c r="E7" s="87">
        <f>+C7-D7</f>
        <v>-2400</v>
      </c>
      <c r="G7" s="16"/>
      <c r="H7" s="98">
        <f>+E7</f>
        <v>-2400</v>
      </c>
      <c r="I7" s="85"/>
      <c r="J7" s="144">
        <v>-2400</v>
      </c>
      <c r="K7" s="87"/>
      <c r="L7" s="87"/>
      <c r="M7" s="87">
        <f>+J7-K7-L7</f>
        <v>-2400</v>
      </c>
      <c r="O7" s="16"/>
      <c r="P7" s="180">
        <f>+M7</f>
        <v>-2400</v>
      </c>
      <c r="R7" s="139">
        <f>+P7-H7</f>
        <v>0</v>
      </c>
      <c r="X7"/>
      <c r="Y7"/>
      <c r="Z7" s="144"/>
    </row>
    <row r="8" spans="1:32" ht="13.2" x14ac:dyDescent="0.25">
      <c r="A8" s="40">
        <v>32601</v>
      </c>
      <c r="B8" s="110" t="s">
        <v>217</v>
      </c>
      <c r="C8" s="94">
        <v>-3352.83</v>
      </c>
      <c r="D8" s="87"/>
      <c r="E8" s="87">
        <f>+C8-D8</f>
        <v>-3352.83</v>
      </c>
      <c r="G8" s="16"/>
      <c r="H8" s="98">
        <f>+E8</f>
        <v>-3352.83</v>
      </c>
      <c r="I8" s="85"/>
      <c r="J8" s="144">
        <v>-3418.4</v>
      </c>
      <c r="K8" s="87"/>
      <c r="L8" s="87"/>
      <c r="M8" s="87">
        <f>+J8-K8-L8</f>
        <v>-3418.4</v>
      </c>
      <c r="O8" s="16"/>
      <c r="P8" s="180">
        <f>+M8</f>
        <v>-3418.4</v>
      </c>
      <c r="R8" s="139">
        <f>+P8-H8</f>
        <v>-65.570000000000164</v>
      </c>
      <c r="X8"/>
      <c r="Y8"/>
      <c r="Z8" s="144"/>
    </row>
    <row r="9" spans="1:32" ht="13.2" x14ac:dyDescent="0.25">
      <c r="A9" s="40">
        <v>32602</v>
      </c>
      <c r="B9" s="110" t="s">
        <v>217</v>
      </c>
      <c r="C9" s="94">
        <v>-460</v>
      </c>
      <c r="D9" s="87"/>
      <c r="E9" s="87">
        <f>+C9-D9</f>
        <v>-460</v>
      </c>
      <c r="G9" s="16"/>
      <c r="H9" s="98">
        <f>+E9</f>
        <v>-460</v>
      </c>
      <c r="I9" s="85"/>
      <c r="J9">
        <v>-460</v>
      </c>
      <c r="K9" s="87"/>
      <c r="L9" s="87"/>
      <c r="M9" s="87">
        <f>+J9-K9-L9</f>
        <v>-460</v>
      </c>
      <c r="O9" s="16"/>
      <c r="P9" s="180">
        <f>+M9</f>
        <v>-460</v>
      </c>
      <c r="R9" s="139">
        <f>+P9-H9</f>
        <v>0</v>
      </c>
      <c r="X9"/>
      <c r="Y9"/>
      <c r="Z9"/>
    </row>
    <row r="10" spans="1:32" ht="13.2" x14ac:dyDescent="0.25">
      <c r="A10" s="40"/>
      <c r="B10" s="110"/>
      <c r="C10" s="94"/>
      <c r="D10" s="87"/>
      <c r="E10" s="87"/>
      <c r="G10" s="16"/>
      <c r="H10" s="98"/>
      <c r="I10" s="85"/>
      <c r="J10" s="144"/>
      <c r="K10" s="87"/>
      <c r="L10" s="87"/>
      <c r="M10" s="87"/>
      <c r="O10" s="16"/>
      <c r="P10" s="180"/>
      <c r="R10" s="139">
        <f>+P10-H10</f>
        <v>0</v>
      </c>
      <c r="X10"/>
      <c r="Y10"/>
      <c r="Z10" s="144"/>
    </row>
    <row r="11" spans="1:32" ht="13.2" x14ac:dyDescent="0.25">
      <c r="G11" s="17"/>
      <c r="H11" s="97"/>
      <c r="I11" s="84"/>
      <c r="J11" s="144"/>
      <c r="O11" s="17"/>
      <c r="P11" s="17"/>
      <c r="R11" s="20"/>
      <c r="X11"/>
      <c r="Y11"/>
      <c r="Z11" s="144"/>
      <c r="AB11"/>
      <c r="AC11"/>
      <c r="AD11"/>
    </row>
    <row r="12" spans="1:32" ht="13.2" x14ac:dyDescent="0.25">
      <c r="A12" s="40">
        <v>45108</v>
      </c>
      <c r="B12" s="110" t="s">
        <v>87</v>
      </c>
      <c r="C12" s="94">
        <v>5400</v>
      </c>
      <c r="D12" s="87"/>
      <c r="E12" s="87">
        <f>+C12-D12</f>
        <v>5400</v>
      </c>
      <c r="G12" s="16">
        <f t="shared" ref="G12:G18" si="0">+E12</f>
        <v>5400</v>
      </c>
      <c r="H12" s="98"/>
      <c r="I12" s="85"/>
      <c r="J12" s="144">
        <v>13800</v>
      </c>
      <c r="K12" s="87"/>
      <c r="L12" s="87"/>
      <c r="M12" s="87">
        <f t="shared" ref="M12:M18" si="1">+J12-K12-L12</f>
        <v>13800</v>
      </c>
      <c r="O12" s="16">
        <f t="shared" ref="O12:O18" si="2">+M12</f>
        <v>13800</v>
      </c>
      <c r="P12" s="98"/>
      <c r="R12" s="139">
        <f t="shared" ref="R12:R18" si="3">+P12-H12</f>
        <v>0</v>
      </c>
      <c r="X12"/>
      <c r="Y12"/>
      <c r="Z12" s="144"/>
      <c r="AB12"/>
      <c r="AC12"/>
      <c r="AD12" s="144"/>
      <c r="AF12" s="87"/>
    </row>
    <row r="13" spans="1:32" ht="13.2" x14ac:dyDescent="0.25">
      <c r="A13" s="40">
        <v>45201</v>
      </c>
      <c r="B13" s="110" t="s">
        <v>88</v>
      </c>
      <c r="C13" s="94">
        <v>3813436.75</v>
      </c>
      <c r="D13" s="87"/>
      <c r="E13" s="87">
        <f t="shared" ref="E13:E85" si="4">+C13-D13</f>
        <v>3813436.75</v>
      </c>
      <c r="G13" s="16">
        <f t="shared" si="0"/>
        <v>3813436.75</v>
      </c>
      <c r="H13" s="98"/>
      <c r="I13" s="85"/>
      <c r="J13" s="144">
        <v>5949065.1299999999</v>
      </c>
      <c r="K13" s="87"/>
      <c r="L13" s="87"/>
      <c r="M13" s="87">
        <f t="shared" si="1"/>
        <v>5949065.1299999999</v>
      </c>
      <c r="O13" s="16">
        <f t="shared" si="2"/>
        <v>5949065.1299999999</v>
      </c>
      <c r="P13" s="98"/>
      <c r="R13" s="139">
        <f t="shared" si="3"/>
        <v>0</v>
      </c>
      <c r="X13"/>
      <c r="Y13"/>
      <c r="Z13" s="144"/>
      <c r="AB13"/>
      <c r="AC13"/>
      <c r="AD13" s="144"/>
      <c r="AF13" s="87"/>
    </row>
    <row r="14" spans="1:32" ht="13.2" x14ac:dyDescent="0.25">
      <c r="A14" s="40">
        <v>45601</v>
      </c>
      <c r="B14" s="110" t="s">
        <v>44</v>
      </c>
      <c r="C14" s="94">
        <v>18991.12</v>
      </c>
      <c r="D14" s="87"/>
      <c r="E14" s="87">
        <f t="shared" si="4"/>
        <v>18991.12</v>
      </c>
      <c r="G14" s="16">
        <f t="shared" si="0"/>
        <v>18991.12</v>
      </c>
      <c r="H14" s="98"/>
      <c r="I14" s="85"/>
      <c r="J14" s="144">
        <v>39135.120000000003</v>
      </c>
      <c r="K14" s="87"/>
      <c r="L14" s="87"/>
      <c r="M14" s="87">
        <f t="shared" si="1"/>
        <v>39135.120000000003</v>
      </c>
      <c r="O14" s="16">
        <f t="shared" si="2"/>
        <v>39135.120000000003</v>
      </c>
      <c r="P14" s="98"/>
      <c r="R14" s="139">
        <f t="shared" si="3"/>
        <v>0</v>
      </c>
      <c r="X14"/>
      <c r="Y14"/>
      <c r="Z14" s="144"/>
      <c r="AB14"/>
      <c r="AC14"/>
      <c r="AD14" s="144"/>
      <c r="AF14" s="87"/>
    </row>
    <row r="15" spans="1:32" ht="13.2" x14ac:dyDescent="0.25">
      <c r="A15" s="40">
        <v>47761</v>
      </c>
      <c r="B15" s="110" t="s">
        <v>240</v>
      </c>
      <c r="C15" s="94"/>
      <c r="D15" s="87"/>
      <c r="E15" s="87"/>
      <c r="G15" s="16"/>
      <c r="H15" s="98"/>
      <c r="I15" s="85"/>
      <c r="J15" s="144">
        <v>1800</v>
      </c>
      <c r="K15" s="87"/>
      <c r="L15" s="87"/>
      <c r="M15" s="87">
        <f t="shared" si="1"/>
        <v>1800</v>
      </c>
      <c r="O15" s="16">
        <f t="shared" si="2"/>
        <v>1800</v>
      </c>
      <c r="P15" s="98"/>
      <c r="R15" s="139">
        <f t="shared" si="3"/>
        <v>0</v>
      </c>
      <c r="X15"/>
      <c r="Y15"/>
      <c r="Z15" s="144"/>
      <c r="AB15"/>
      <c r="AC15"/>
      <c r="AD15" s="144"/>
      <c r="AF15" s="87"/>
    </row>
    <row r="16" spans="1:32" ht="13.2" x14ac:dyDescent="0.25">
      <c r="A16" s="40">
        <v>47901</v>
      </c>
      <c r="B16" s="110" t="s">
        <v>89</v>
      </c>
      <c r="C16" s="94">
        <v>6411641.0499999998</v>
      </c>
      <c r="D16" s="87"/>
      <c r="E16" s="87">
        <f t="shared" si="4"/>
        <v>6411641.0499999998</v>
      </c>
      <c r="G16" s="16">
        <f t="shared" si="0"/>
        <v>6411641.0499999998</v>
      </c>
      <c r="H16" s="98"/>
      <c r="I16" s="85"/>
      <c r="J16" s="144">
        <v>9717493.8100000005</v>
      </c>
      <c r="K16" s="87"/>
      <c r="L16" s="87"/>
      <c r="M16" s="87">
        <f t="shared" si="1"/>
        <v>9717493.8100000005</v>
      </c>
      <c r="O16" s="16">
        <f t="shared" si="2"/>
        <v>9717493.8100000005</v>
      </c>
      <c r="P16" s="98"/>
      <c r="R16" s="139">
        <f t="shared" si="3"/>
        <v>0</v>
      </c>
      <c r="X16"/>
      <c r="Y16"/>
      <c r="Z16" s="144"/>
      <c r="AB16"/>
      <c r="AC16"/>
      <c r="AD16" s="144"/>
      <c r="AF16" s="87"/>
    </row>
    <row r="17" spans="1:32" ht="13.2" x14ac:dyDescent="0.25">
      <c r="A17" s="40">
        <v>48101</v>
      </c>
      <c r="B17" s="110" t="s">
        <v>90</v>
      </c>
      <c r="C17" s="94">
        <v>364820.82</v>
      </c>
      <c r="D17" s="87"/>
      <c r="E17" s="87">
        <f t="shared" si="4"/>
        <v>364820.82</v>
      </c>
      <c r="G17" s="16">
        <f t="shared" si="0"/>
        <v>364820.82</v>
      </c>
      <c r="H17" s="98"/>
      <c r="I17" s="85"/>
      <c r="J17" s="144">
        <v>561768.46</v>
      </c>
      <c r="K17" s="87"/>
      <c r="L17" s="87"/>
      <c r="M17" s="87">
        <f t="shared" si="1"/>
        <v>561768.46</v>
      </c>
      <c r="O17" s="16">
        <f t="shared" si="2"/>
        <v>561768.46</v>
      </c>
      <c r="P17" s="98"/>
      <c r="R17" s="139">
        <f t="shared" si="3"/>
        <v>0</v>
      </c>
      <c r="X17"/>
      <c r="Y17"/>
      <c r="Z17" s="144"/>
      <c r="AB17"/>
      <c r="AC17"/>
      <c r="AD17" s="144"/>
      <c r="AF17" s="87"/>
    </row>
    <row r="18" spans="1:32" ht="13.2" x14ac:dyDescent="0.25">
      <c r="A18" s="40">
        <v>48201</v>
      </c>
      <c r="B18" s="110" t="s">
        <v>50</v>
      </c>
      <c r="C18" s="94">
        <v>321694.25</v>
      </c>
      <c r="D18" s="87"/>
      <c r="E18" s="87">
        <f t="shared" si="4"/>
        <v>321694.25</v>
      </c>
      <c r="G18" s="16">
        <f t="shared" si="0"/>
        <v>321694.25</v>
      </c>
      <c r="H18" s="98"/>
      <c r="I18" s="85"/>
      <c r="J18" s="144">
        <v>470858.5</v>
      </c>
      <c r="K18" s="87"/>
      <c r="L18" s="87"/>
      <c r="M18" s="87">
        <f t="shared" si="1"/>
        <v>470858.5</v>
      </c>
      <c r="O18" s="16">
        <f t="shared" si="2"/>
        <v>470858.5</v>
      </c>
      <c r="P18" s="98"/>
      <c r="R18" s="139">
        <f t="shared" si="3"/>
        <v>0</v>
      </c>
      <c r="X18"/>
      <c r="Y18"/>
      <c r="Z18" s="144"/>
      <c r="AB18"/>
      <c r="AC18"/>
      <c r="AD18" s="144"/>
      <c r="AF18" s="87"/>
    </row>
    <row r="19" spans="1:32" ht="13.2" x14ac:dyDescent="0.25">
      <c r="A19" s="113"/>
      <c r="C19" s="94"/>
      <c r="D19" s="87"/>
      <c r="E19" s="87"/>
      <c r="G19" s="16"/>
      <c r="H19" s="22"/>
      <c r="I19" s="85"/>
      <c r="J19" s="12"/>
      <c r="K19" s="87"/>
      <c r="L19" s="87"/>
      <c r="M19" s="87"/>
      <c r="O19" s="16"/>
      <c r="P19" s="22"/>
      <c r="R19" s="20"/>
      <c r="AF19" s="87"/>
    </row>
    <row r="20" spans="1:32" ht="13.2" x14ac:dyDescent="0.25">
      <c r="A20" s="40">
        <v>50101</v>
      </c>
      <c r="B20" s="110" t="s">
        <v>91</v>
      </c>
      <c r="C20" s="94">
        <v>15517699.15</v>
      </c>
      <c r="D20" s="87"/>
      <c r="E20" s="87">
        <f t="shared" si="4"/>
        <v>15517699.15</v>
      </c>
      <c r="G20" s="16">
        <f>+E20-H20</f>
        <v>13721349.15</v>
      </c>
      <c r="H20" s="116">
        <f>898175*2</f>
        <v>1796350</v>
      </c>
      <c r="I20" s="85"/>
      <c r="J20" s="144">
        <v>23260757.030000001</v>
      </c>
      <c r="K20" s="87"/>
      <c r="L20" s="87"/>
      <c r="M20" s="87">
        <f t="shared" ref="M20:M28" si="5">+J20-K20-L20</f>
        <v>23260757.030000001</v>
      </c>
      <c r="O20" s="16">
        <f>+M20-P20</f>
        <v>20926944.3572</v>
      </c>
      <c r="P20" s="192">
        <f>+'Personalkost ON pr mars'!V62</f>
        <v>2333812.6727999998</v>
      </c>
      <c r="R20" s="139">
        <f t="shared" ref="R20:R52" si="6">+P20-H20</f>
        <v>537462.67279999983</v>
      </c>
      <c r="V20" s="13"/>
      <c r="X20"/>
      <c r="Y20"/>
      <c r="Z20" s="144"/>
      <c r="AB20"/>
      <c r="AC20"/>
      <c r="AD20" s="144"/>
      <c r="AF20" s="87"/>
    </row>
    <row r="21" spans="1:32" ht="13.2" x14ac:dyDescent="0.25">
      <c r="A21" s="40">
        <v>50102</v>
      </c>
      <c r="B21" s="110" t="s">
        <v>92</v>
      </c>
      <c r="C21" s="94">
        <v>-66499.679999999993</v>
      </c>
      <c r="D21" s="87"/>
      <c r="E21" s="87">
        <f t="shared" si="4"/>
        <v>-66499.679999999993</v>
      </c>
      <c r="G21" s="16">
        <f t="shared" ref="G21:G52" si="7">+E21-H21</f>
        <v>-66499.679999999993</v>
      </c>
      <c r="H21" s="98"/>
      <c r="I21" s="85"/>
      <c r="J21" s="144">
        <v>-66499.679999999993</v>
      </c>
      <c r="K21" s="87"/>
      <c r="L21" s="87"/>
      <c r="M21" s="87">
        <f t="shared" si="5"/>
        <v>-66499.679999999993</v>
      </c>
      <c r="O21" s="16">
        <f t="shared" ref="O21:O42" si="8">+M21-P21</f>
        <v>-66499.679999999993</v>
      </c>
      <c r="P21" s="180"/>
      <c r="R21" s="139">
        <f t="shared" si="6"/>
        <v>0</v>
      </c>
      <c r="V21" s="13"/>
      <c r="X21"/>
      <c r="Y21"/>
      <c r="Z21" s="144"/>
      <c r="AB21"/>
      <c r="AC21"/>
      <c r="AD21" s="144"/>
      <c r="AF21" s="87"/>
    </row>
    <row r="22" spans="1:32" ht="13.2" x14ac:dyDescent="0.25">
      <c r="A22" s="40">
        <v>50103</v>
      </c>
      <c r="B22" s="110" t="s">
        <v>93</v>
      </c>
      <c r="C22" s="94">
        <v>408109.96</v>
      </c>
      <c r="D22" s="87"/>
      <c r="E22" s="87">
        <f t="shared" si="4"/>
        <v>408109.96</v>
      </c>
      <c r="G22" s="16">
        <f t="shared" si="7"/>
        <v>408109.96</v>
      </c>
      <c r="H22" s="98"/>
      <c r="I22" s="85"/>
      <c r="J22" s="144">
        <v>593392.17000000004</v>
      </c>
      <c r="K22" s="87"/>
      <c r="L22" s="87"/>
      <c r="M22" s="87">
        <f t="shared" si="5"/>
        <v>593392.17000000004</v>
      </c>
      <c r="O22" s="16">
        <f t="shared" si="8"/>
        <v>593392.17000000004</v>
      </c>
      <c r="P22" s="180"/>
      <c r="R22" s="139">
        <f t="shared" si="6"/>
        <v>0</v>
      </c>
      <c r="V22" s="13"/>
      <c r="X22"/>
      <c r="Y22"/>
      <c r="Z22" s="144"/>
      <c r="AB22"/>
      <c r="AC22"/>
      <c r="AD22" s="144"/>
      <c r="AF22" s="87"/>
    </row>
    <row r="23" spans="1:32" ht="13.2" x14ac:dyDescent="0.25">
      <c r="A23" s="40">
        <v>50105</v>
      </c>
      <c r="B23" s="110" t="s">
        <v>94</v>
      </c>
      <c r="C23" s="94">
        <v>629789.55000000005</v>
      </c>
      <c r="D23" s="87"/>
      <c r="E23" s="87">
        <f t="shared" si="4"/>
        <v>629789.55000000005</v>
      </c>
      <c r="G23" s="16">
        <f t="shared" si="7"/>
        <v>629789.55000000005</v>
      </c>
      <c r="H23" s="98"/>
      <c r="I23" s="85"/>
      <c r="J23" s="144">
        <v>852321.07</v>
      </c>
      <c r="K23" s="87"/>
      <c r="L23" s="87"/>
      <c r="M23" s="87">
        <f t="shared" si="5"/>
        <v>852321.07</v>
      </c>
      <c r="O23" s="16">
        <f t="shared" si="8"/>
        <v>852321.07</v>
      </c>
      <c r="P23" s="180"/>
      <c r="R23" s="139">
        <f t="shared" si="6"/>
        <v>0</v>
      </c>
      <c r="V23" s="13"/>
      <c r="X23"/>
      <c r="Y23"/>
      <c r="Z23" s="144"/>
      <c r="AB23"/>
      <c r="AC23"/>
      <c r="AD23" s="144"/>
      <c r="AF23" s="87"/>
    </row>
    <row r="24" spans="1:32" ht="13.2" x14ac:dyDescent="0.25">
      <c r="A24" s="40">
        <v>50107</v>
      </c>
      <c r="B24" s="110" t="s">
        <v>95</v>
      </c>
      <c r="C24" s="94">
        <v>2200</v>
      </c>
      <c r="D24" s="87"/>
      <c r="E24" s="87">
        <f t="shared" si="4"/>
        <v>2200</v>
      </c>
      <c r="G24" s="16">
        <f t="shared" si="7"/>
        <v>2200</v>
      </c>
      <c r="H24" s="98"/>
      <c r="I24" s="85"/>
      <c r="J24" s="144">
        <v>2600</v>
      </c>
      <c r="K24" s="87"/>
      <c r="L24" s="87"/>
      <c r="M24" s="87">
        <f t="shared" si="5"/>
        <v>2600</v>
      </c>
      <c r="O24" s="16">
        <f t="shared" si="8"/>
        <v>2600</v>
      </c>
      <c r="P24" s="180"/>
      <c r="R24" s="139">
        <f t="shared" si="6"/>
        <v>0</v>
      </c>
      <c r="V24" s="13"/>
      <c r="X24"/>
      <c r="Y24"/>
      <c r="Z24" s="144"/>
      <c r="AB24"/>
      <c r="AC24"/>
      <c r="AD24" s="144"/>
      <c r="AF24" s="87"/>
    </row>
    <row r="25" spans="1:32" ht="13.2" x14ac:dyDescent="0.25">
      <c r="A25" s="40">
        <v>50117</v>
      </c>
      <c r="B25" s="110" t="s">
        <v>96</v>
      </c>
      <c r="C25" s="94">
        <v>1113006</v>
      </c>
      <c r="D25" s="87"/>
      <c r="E25" s="87">
        <f t="shared" si="4"/>
        <v>1113006</v>
      </c>
      <c r="G25" s="16">
        <f t="shared" si="7"/>
        <v>1113006</v>
      </c>
      <c r="H25" s="98"/>
      <c r="I25" s="85"/>
      <c r="J25" s="144">
        <v>1113006</v>
      </c>
      <c r="K25" s="87"/>
      <c r="L25" s="87"/>
      <c r="M25" s="87">
        <f t="shared" si="5"/>
        <v>1113006</v>
      </c>
      <c r="O25" s="16">
        <f t="shared" si="8"/>
        <v>1113006</v>
      </c>
      <c r="P25" s="180"/>
      <c r="R25" s="139">
        <f t="shared" si="6"/>
        <v>0</v>
      </c>
      <c r="V25" s="13"/>
      <c r="X25"/>
      <c r="Y25"/>
      <c r="Z25" s="144"/>
      <c r="AB25"/>
      <c r="AC25"/>
      <c r="AD25" s="144"/>
      <c r="AF25" s="87"/>
    </row>
    <row r="26" spans="1:32" ht="13.2" x14ac:dyDescent="0.25">
      <c r="A26" s="40">
        <v>50121</v>
      </c>
      <c r="B26" s="110" t="s">
        <v>97</v>
      </c>
      <c r="C26" s="94">
        <v>-3881959.01</v>
      </c>
      <c r="D26" s="87"/>
      <c r="E26" s="87">
        <f t="shared" si="4"/>
        <v>-3881959.01</v>
      </c>
      <c r="G26" s="16">
        <f t="shared" si="7"/>
        <v>-3881959.01</v>
      </c>
      <c r="H26" s="98"/>
      <c r="I26" s="85"/>
      <c r="J26" s="144">
        <v>-4067334.89</v>
      </c>
      <c r="K26" s="87"/>
      <c r="L26" s="87"/>
      <c r="M26" s="87">
        <f t="shared" si="5"/>
        <v>-4067334.89</v>
      </c>
      <c r="O26" s="16">
        <f t="shared" si="8"/>
        <v>-4067334.89</v>
      </c>
      <c r="P26" s="180"/>
      <c r="R26" s="139">
        <f t="shared" si="6"/>
        <v>0</v>
      </c>
      <c r="V26" s="142" t="s">
        <v>235</v>
      </c>
      <c r="W26" s="138"/>
      <c r="X26"/>
      <c r="Y26"/>
      <c r="Z26" s="144"/>
      <c r="AB26"/>
      <c r="AC26"/>
      <c r="AD26" s="144"/>
      <c r="AF26" s="87"/>
    </row>
    <row r="27" spans="1:32" ht="13.2" x14ac:dyDescent="0.25">
      <c r="A27" s="40">
        <v>50133</v>
      </c>
      <c r="B27" s="110" t="s">
        <v>98</v>
      </c>
      <c r="C27" s="94">
        <v>38041.9</v>
      </c>
      <c r="D27" s="87"/>
      <c r="E27" s="87">
        <f t="shared" si="4"/>
        <v>38041.9</v>
      </c>
      <c r="G27" s="16">
        <f t="shared" si="7"/>
        <v>38041.9</v>
      </c>
      <c r="H27" s="98"/>
      <c r="I27" s="85"/>
      <c r="J27" s="144">
        <v>90649.94</v>
      </c>
      <c r="K27" s="87"/>
      <c r="L27" s="87"/>
      <c r="M27" s="87">
        <f t="shared" si="5"/>
        <v>90649.94</v>
      </c>
      <c r="O27" s="16">
        <f t="shared" si="8"/>
        <v>90649.94</v>
      </c>
      <c r="P27" s="180"/>
      <c r="R27" s="139">
        <f t="shared" si="6"/>
        <v>0</v>
      </c>
      <c r="V27" s="142" t="s">
        <v>236</v>
      </c>
      <c r="W27" s="138"/>
      <c r="X27"/>
      <c r="Y27"/>
      <c r="Z27" s="144"/>
      <c r="AF27" s="87"/>
    </row>
    <row r="28" spans="1:32" ht="13.2" x14ac:dyDescent="0.25">
      <c r="A28" s="40">
        <v>50137</v>
      </c>
      <c r="B28" s="110" t="s">
        <v>99</v>
      </c>
      <c r="C28" s="94">
        <v>-43803</v>
      </c>
      <c r="D28" s="87"/>
      <c r="E28" s="87">
        <f t="shared" si="4"/>
        <v>-43803</v>
      </c>
      <c r="G28" s="16">
        <f t="shared" si="7"/>
        <v>-43803</v>
      </c>
      <c r="H28" s="98"/>
      <c r="I28" s="85"/>
      <c r="J28" s="144">
        <v>-211218</v>
      </c>
      <c r="K28" s="87"/>
      <c r="L28" s="87"/>
      <c r="M28" s="87">
        <f t="shared" si="5"/>
        <v>-211218</v>
      </c>
      <c r="O28" s="16">
        <f t="shared" si="8"/>
        <v>-211218</v>
      </c>
      <c r="P28" s="180"/>
      <c r="R28" s="139">
        <f t="shared" si="6"/>
        <v>0</v>
      </c>
      <c r="V28" s="142" t="s">
        <v>237</v>
      </c>
      <c r="W28" s="138"/>
      <c r="X28"/>
      <c r="Y28"/>
      <c r="Z28" s="144"/>
      <c r="AB28"/>
      <c r="AC28"/>
      <c r="AD28" s="144"/>
      <c r="AF28" s="87"/>
    </row>
    <row r="29" spans="1:32" ht="13.2" x14ac:dyDescent="0.25">
      <c r="A29" s="40">
        <v>50139</v>
      </c>
      <c r="B29" s="110" t="s">
        <v>241</v>
      </c>
      <c r="C29" s="94"/>
      <c r="D29" s="87"/>
      <c r="E29" s="87"/>
      <c r="G29" s="16"/>
      <c r="H29" s="98"/>
      <c r="I29" s="85"/>
      <c r="J29" s="144">
        <v>-99441</v>
      </c>
      <c r="K29" s="87"/>
      <c r="L29" s="87"/>
      <c r="M29" s="87">
        <f>+J29-K29-L29</f>
        <v>-99441</v>
      </c>
      <c r="O29" s="16">
        <f t="shared" si="8"/>
        <v>-99441</v>
      </c>
      <c r="P29" s="180"/>
      <c r="R29" s="139">
        <f t="shared" si="6"/>
        <v>0</v>
      </c>
      <c r="V29" s="142"/>
      <c r="W29" s="138"/>
      <c r="X29"/>
      <c r="Y29"/>
      <c r="Z29" s="144"/>
      <c r="AB29"/>
      <c r="AC29"/>
      <c r="AD29" s="144"/>
      <c r="AF29" s="87"/>
    </row>
    <row r="30" spans="1:32" ht="13.2" x14ac:dyDescent="0.25">
      <c r="A30" s="40">
        <v>50141</v>
      </c>
      <c r="B30" s="110" t="s">
        <v>100</v>
      </c>
      <c r="C30" s="94">
        <v>1643856.96</v>
      </c>
      <c r="D30" s="87"/>
      <c r="E30" s="87">
        <f t="shared" si="4"/>
        <v>1643856.96</v>
      </c>
      <c r="G30" s="16">
        <f t="shared" si="7"/>
        <v>1643856.96</v>
      </c>
      <c r="H30" s="98"/>
      <c r="I30" s="85"/>
      <c r="J30" s="144">
        <v>2060572.96</v>
      </c>
      <c r="K30" s="87"/>
      <c r="L30" s="87"/>
      <c r="M30" s="87">
        <f t="shared" ref="M30:M45" si="9">+J30-K30-L30</f>
        <v>2060572.96</v>
      </c>
      <c r="O30" s="16">
        <f t="shared" si="8"/>
        <v>2060572.96</v>
      </c>
      <c r="P30" s="180"/>
      <c r="R30" s="139">
        <f t="shared" si="6"/>
        <v>0</v>
      </c>
      <c r="V30" s="139"/>
      <c r="W30" s="138"/>
      <c r="X30"/>
      <c r="Y30"/>
      <c r="Z30" s="144"/>
      <c r="AB30"/>
      <c r="AC30"/>
      <c r="AD30" s="144"/>
      <c r="AF30" s="87"/>
    </row>
    <row r="31" spans="1:32" ht="13.2" x14ac:dyDescent="0.25">
      <c r="A31" s="40">
        <v>50203</v>
      </c>
      <c r="B31" s="110" t="s">
        <v>101</v>
      </c>
      <c r="C31" s="94">
        <v>552927.61</v>
      </c>
      <c r="D31" s="87"/>
      <c r="E31" s="87">
        <f t="shared" si="4"/>
        <v>552927.61</v>
      </c>
      <c r="G31" s="16">
        <f t="shared" si="7"/>
        <v>552927.61</v>
      </c>
      <c r="H31" s="98"/>
      <c r="I31" s="85"/>
      <c r="J31" s="144">
        <v>921042.99</v>
      </c>
      <c r="K31" s="87"/>
      <c r="L31" s="87"/>
      <c r="M31" s="87">
        <f t="shared" si="9"/>
        <v>921042.99</v>
      </c>
      <c r="O31" s="16">
        <f t="shared" si="8"/>
        <v>921042.99</v>
      </c>
      <c r="P31" s="180"/>
      <c r="R31" s="139">
        <f t="shared" si="6"/>
        <v>0</v>
      </c>
      <c r="V31" s="142" t="s">
        <v>238</v>
      </c>
      <c r="W31" s="138"/>
      <c r="X31"/>
      <c r="Y31"/>
      <c r="Z31" s="144"/>
      <c r="AB31"/>
      <c r="AC31"/>
      <c r="AD31" s="144"/>
      <c r="AF31" s="87"/>
    </row>
    <row r="32" spans="1:32" ht="13.2" x14ac:dyDescent="0.25">
      <c r="A32" s="40">
        <v>50204</v>
      </c>
      <c r="B32" s="110" t="s">
        <v>101</v>
      </c>
      <c r="C32" s="94">
        <v>-552927.61</v>
      </c>
      <c r="D32" s="87"/>
      <c r="E32" s="87">
        <f t="shared" si="4"/>
        <v>-552927.61</v>
      </c>
      <c r="G32" s="16">
        <f t="shared" si="7"/>
        <v>-552927.61</v>
      </c>
      <c r="H32" s="98"/>
      <c r="I32" s="85"/>
      <c r="J32" s="144">
        <v>-921042.99</v>
      </c>
      <c r="K32" s="87"/>
      <c r="L32" s="87"/>
      <c r="M32" s="87">
        <f t="shared" si="9"/>
        <v>-921042.99</v>
      </c>
      <c r="O32" s="16">
        <f t="shared" si="8"/>
        <v>-921042.99</v>
      </c>
      <c r="P32" s="180"/>
      <c r="R32" s="139">
        <f t="shared" si="6"/>
        <v>0</v>
      </c>
      <c r="V32" s="13"/>
      <c r="X32"/>
      <c r="Y32"/>
      <c r="Z32" s="144"/>
      <c r="AB32"/>
      <c r="AC32"/>
      <c r="AD32" s="144"/>
      <c r="AF32" s="87"/>
    </row>
    <row r="33" spans="1:32" ht="13.2" x14ac:dyDescent="0.25">
      <c r="A33" s="40">
        <v>51101</v>
      </c>
      <c r="B33" s="110" t="s">
        <v>102</v>
      </c>
      <c r="C33" s="94">
        <v>388198.11</v>
      </c>
      <c r="D33" s="87"/>
      <c r="E33" s="87">
        <f t="shared" si="4"/>
        <v>388198.11</v>
      </c>
      <c r="G33" s="16">
        <f t="shared" si="7"/>
        <v>388198.11</v>
      </c>
      <c r="H33" s="98"/>
      <c r="I33" s="85"/>
      <c r="J33" s="144">
        <v>600257.15</v>
      </c>
      <c r="K33" s="87"/>
      <c r="L33" s="87"/>
      <c r="M33" s="87">
        <f t="shared" si="9"/>
        <v>600257.15</v>
      </c>
      <c r="O33" s="16">
        <f t="shared" si="8"/>
        <v>600257.15</v>
      </c>
      <c r="P33" s="180"/>
      <c r="R33" s="139">
        <f t="shared" si="6"/>
        <v>0</v>
      </c>
      <c r="V33" s="13"/>
      <c r="X33"/>
      <c r="Y33"/>
      <c r="Z33" s="144"/>
      <c r="AB33"/>
      <c r="AC33"/>
      <c r="AD33" s="144"/>
      <c r="AF33" s="87"/>
    </row>
    <row r="34" spans="1:32" ht="13.2" x14ac:dyDescent="0.25">
      <c r="A34" s="40">
        <v>51105</v>
      </c>
      <c r="B34" s="110" t="s">
        <v>103</v>
      </c>
      <c r="C34" s="94">
        <v>19292.28</v>
      </c>
      <c r="D34" s="87"/>
      <c r="E34" s="87">
        <f t="shared" si="4"/>
        <v>19292.28</v>
      </c>
      <c r="G34" s="16">
        <f t="shared" si="7"/>
        <v>19292.28</v>
      </c>
      <c r="H34" s="98"/>
      <c r="I34" s="85"/>
      <c r="J34" s="144">
        <v>26642.27</v>
      </c>
      <c r="K34" s="87"/>
      <c r="L34" s="87"/>
      <c r="M34" s="87">
        <f t="shared" si="9"/>
        <v>26642.27</v>
      </c>
      <c r="O34" s="16">
        <f t="shared" si="8"/>
        <v>26642.27</v>
      </c>
      <c r="P34" s="180"/>
      <c r="R34" s="139">
        <f t="shared" si="6"/>
        <v>0</v>
      </c>
      <c r="V34" s="13"/>
      <c r="X34"/>
      <c r="Y34"/>
      <c r="Z34" s="144"/>
      <c r="AB34"/>
      <c r="AC34"/>
      <c r="AD34" s="144"/>
      <c r="AF34" s="87"/>
    </row>
    <row r="35" spans="1:32" ht="13.2" x14ac:dyDescent="0.25">
      <c r="A35" s="40">
        <v>52101</v>
      </c>
      <c r="B35" s="110" t="s">
        <v>104</v>
      </c>
      <c r="C35" s="94">
        <v>2067798.4</v>
      </c>
      <c r="D35" s="87"/>
      <c r="E35" s="87">
        <f t="shared" si="4"/>
        <v>2067798.4</v>
      </c>
      <c r="G35" s="16">
        <f t="shared" si="7"/>
        <v>2067798.4</v>
      </c>
      <c r="H35" s="98"/>
      <c r="I35" s="85"/>
      <c r="J35" s="144">
        <v>3058977.44</v>
      </c>
      <c r="K35" s="87"/>
      <c r="L35" s="87"/>
      <c r="M35" s="87">
        <f t="shared" si="9"/>
        <v>3058977.44</v>
      </c>
      <c r="O35" s="16">
        <f t="shared" si="8"/>
        <v>3058977.44</v>
      </c>
      <c r="P35" s="180"/>
      <c r="R35" s="139">
        <f t="shared" si="6"/>
        <v>0</v>
      </c>
      <c r="V35" s="13"/>
      <c r="X35"/>
      <c r="Y35"/>
      <c r="Z35" s="144"/>
      <c r="AB35"/>
      <c r="AC35"/>
      <c r="AD35" s="144"/>
      <c r="AF35" s="87"/>
    </row>
    <row r="36" spans="1:32" ht="13.2" x14ac:dyDescent="0.25">
      <c r="A36" s="40">
        <v>52102</v>
      </c>
      <c r="B36" s="110" t="s">
        <v>105</v>
      </c>
      <c r="C36" s="94">
        <v>-165611.28</v>
      </c>
      <c r="D36" s="87"/>
      <c r="E36" s="87">
        <f t="shared" si="4"/>
        <v>-165611.28</v>
      </c>
      <c r="G36" s="16">
        <f t="shared" si="7"/>
        <v>-165611.28</v>
      </c>
      <c r="H36" s="98"/>
      <c r="I36" s="85"/>
      <c r="J36" s="144">
        <v>-213655</v>
      </c>
      <c r="K36" s="87"/>
      <c r="L36" s="87"/>
      <c r="M36" s="87">
        <f t="shared" si="9"/>
        <v>-213655</v>
      </c>
      <c r="O36" s="16">
        <f t="shared" si="8"/>
        <v>-213655</v>
      </c>
      <c r="P36" s="180"/>
      <c r="R36" s="139">
        <f t="shared" si="6"/>
        <v>0</v>
      </c>
      <c r="V36" s="13"/>
      <c r="X36"/>
      <c r="Y36"/>
      <c r="Z36" s="144"/>
      <c r="AB36"/>
      <c r="AC36"/>
      <c r="AD36" s="144"/>
      <c r="AF36" s="87"/>
    </row>
    <row r="37" spans="1:32" ht="13.2" x14ac:dyDescent="0.25">
      <c r="A37" s="40">
        <v>52103</v>
      </c>
      <c r="B37" s="110" t="s">
        <v>106</v>
      </c>
      <c r="C37" s="94">
        <v>1001905.14</v>
      </c>
      <c r="D37" s="87"/>
      <c r="E37" s="87">
        <f t="shared" si="4"/>
        <v>1001905.14</v>
      </c>
      <c r="G37" s="16">
        <f t="shared" si="7"/>
        <v>1001905.14</v>
      </c>
      <c r="H37" s="98"/>
      <c r="I37" s="85"/>
      <c r="J37" s="144">
        <v>1136383.24</v>
      </c>
      <c r="K37" s="87"/>
      <c r="L37" s="87"/>
      <c r="M37" s="87">
        <f t="shared" si="9"/>
        <v>1136383.24</v>
      </c>
      <c r="O37" s="16">
        <f t="shared" si="8"/>
        <v>1136383.24</v>
      </c>
      <c r="P37" s="180"/>
      <c r="R37" s="139">
        <f t="shared" si="6"/>
        <v>0</v>
      </c>
      <c r="V37" s="13"/>
      <c r="X37"/>
      <c r="Y37"/>
      <c r="Z37" s="144"/>
      <c r="AB37"/>
      <c r="AC37"/>
      <c r="AD37" s="144"/>
      <c r="AF37" s="87"/>
    </row>
    <row r="38" spans="1:32" ht="13.2" x14ac:dyDescent="0.25">
      <c r="A38" s="40">
        <v>52105</v>
      </c>
      <c r="B38" s="110" t="s">
        <v>107</v>
      </c>
      <c r="C38" s="94">
        <v>-1001905.14</v>
      </c>
      <c r="D38" s="87"/>
      <c r="E38" s="87">
        <f t="shared" si="4"/>
        <v>-1001905.14</v>
      </c>
      <c r="G38" s="16">
        <f t="shared" si="7"/>
        <v>-1001905.14</v>
      </c>
      <c r="H38" s="98"/>
      <c r="I38" s="85"/>
      <c r="J38" s="144">
        <v>-1136383.24</v>
      </c>
      <c r="K38" s="87"/>
      <c r="L38" s="87"/>
      <c r="M38" s="87">
        <f t="shared" si="9"/>
        <v>-1136383.24</v>
      </c>
      <c r="O38" s="16">
        <f t="shared" si="8"/>
        <v>-1136383.24</v>
      </c>
      <c r="P38" s="180"/>
      <c r="R38" s="139">
        <f t="shared" si="6"/>
        <v>0</v>
      </c>
      <c r="V38" s="13"/>
      <c r="X38"/>
      <c r="Y38"/>
      <c r="Z38" s="144"/>
      <c r="AB38"/>
      <c r="AC38"/>
      <c r="AD38" s="144"/>
      <c r="AF38" s="87"/>
    </row>
    <row r="39" spans="1:32" ht="13.2" x14ac:dyDescent="0.25">
      <c r="A39" s="40">
        <v>53121</v>
      </c>
      <c r="B39" s="110" t="s">
        <v>108</v>
      </c>
      <c r="C39" s="94">
        <v>140228</v>
      </c>
      <c r="D39" s="87"/>
      <c r="E39" s="87">
        <f t="shared" si="4"/>
        <v>140228</v>
      </c>
      <c r="G39" s="16">
        <f t="shared" si="7"/>
        <v>140228</v>
      </c>
      <c r="H39" s="98"/>
      <c r="I39" s="85"/>
      <c r="J39" s="144">
        <v>219106.05</v>
      </c>
      <c r="K39" s="87"/>
      <c r="L39" s="87"/>
      <c r="M39" s="87">
        <f t="shared" si="9"/>
        <v>219106.05</v>
      </c>
      <c r="O39" s="16">
        <f t="shared" si="8"/>
        <v>219106.05</v>
      </c>
      <c r="P39" s="180"/>
      <c r="R39" s="139">
        <f t="shared" si="6"/>
        <v>0</v>
      </c>
      <c r="V39" s="13"/>
      <c r="X39"/>
      <c r="Y39"/>
      <c r="Z39" s="144"/>
      <c r="AB39"/>
      <c r="AC39"/>
      <c r="AD39" s="144"/>
      <c r="AF39" s="87"/>
    </row>
    <row r="40" spans="1:32" ht="13.2" x14ac:dyDescent="0.25">
      <c r="A40" s="40">
        <v>54101</v>
      </c>
      <c r="B40" s="110" t="s">
        <v>109</v>
      </c>
      <c r="C40" s="94">
        <v>3081810.42</v>
      </c>
      <c r="D40" s="87"/>
      <c r="E40" s="87">
        <f t="shared" si="4"/>
        <v>3081810.42</v>
      </c>
      <c r="G40" s="16">
        <f t="shared" si="7"/>
        <v>2828524.42</v>
      </c>
      <c r="H40" s="98">
        <f>126643*2</f>
        <v>253286</v>
      </c>
      <c r="I40" s="86"/>
      <c r="J40" s="144">
        <v>4442980.09</v>
      </c>
      <c r="K40" s="87"/>
      <c r="L40" s="87"/>
      <c r="M40" s="87">
        <f t="shared" si="9"/>
        <v>4442980.09</v>
      </c>
      <c r="O40" s="16">
        <f t="shared" si="8"/>
        <v>4113912.5031351997</v>
      </c>
      <c r="P40" s="202">
        <f>+'Personalkost ON pr mars'!V63</f>
        <v>329067.58686479996</v>
      </c>
      <c r="R40" s="139">
        <f t="shared" si="6"/>
        <v>75781.58686479996</v>
      </c>
      <c r="V40" s="13"/>
      <c r="X40"/>
      <c r="Y40"/>
      <c r="Z40" s="144"/>
      <c r="AB40"/>
      <c r="AC40"/>
      <c r="AD40" s="144"/>
      <c r="AF40" s="87"/>
    </row>
    <row r="41" spans="1:32" ht="13.2" x14ac:dyDescent="0.25">
      <c r="A41" s="40">
        <v>54109</v>
      </c>
      <c r="B41" s="110" t="s">
        <v>110</v>
      </c>
      <c r="C41" s="94">
        <v>-560310.77</v>
      </c>
      <c r="D41" s="87"/>
      <c r="E41" s="87">
        <f t="shared" si="4"/>
        <v>-560310.77</v>
      </c>
      <c r="G41" s="16">
        <f t="shared" si="7"/>
        <v>-560310.77</v>
      </c>
      <c r="H41" s="98"/>
      <c r="I41" s="85"/>
      <c r="J41" s="144">
        <v>-531356.42000000004</v>
      </c>
      <c r="K41" s="87"/>
      <c r="L41" s="87"/>
      <c r="M41" s="87">
        <f t="shared" si="9"/>
        <v>-531356.42000000004</v>
      </c>
      <c r="O41" s="16">
        <f t="shared" si="8"/>
        <v>-531356.42000000004</v>
      </c>
      <c r="P41" s="180"/>
      <c r="R41" s="139">
        <f t="shared" si="6"/>
        <v>0</v>
      </c>
      <c r="V41" s="13"/>
      <c r="X41"/>
      <c r="Y41"/>
      <c r="Z41" s="144"/>
      <c r="AB41"/>
      <c r="AC41"/>
      <c r="AD41" s="144"/>
      <c r="AF41" s="87"/>
    </row>
    <row r="42" spans="1:32" ht="13.2" x14ac:dyDescent="0.25">
      <c r="A42" s="40">
        <v>54112</v>
      </c>
      <c r="B42" s="110" t="s">
        <v>111</v>
      </c>
      <c r="C42" s="94">
        <v>291559.84999999998</v>
      </c>
      <c r="D42" s="87"/>
      <c r="E42" s="87">
        <f t="shared" si="4"/>
        <v>291559.84999999998</v>
      </c>
      <c r="G42" s="16">
        <f t="shared" si="7"/>
        <v>291559.84999999998</v>
      </c>
      <c r="H42" s="98"/>
      <c r="I42" s="85"/>
      <c r="J42" s="144">
        <v>431068.65</v>
      </c>
      <c r="K42" s="87"/>
      <c r="L42" s="87"/>
      <c r="M42" s="87">
        <f t="shared" si="9"/>
        <v>431068.65</v>
      </c>
      <c r="O42" s="16">
        <f t="shared" si="8"/>
        <v>431068.65</v>
      </c>
      <c r="P42" s="180"/>
      <c r="R42" s="139">
        <f t="shared" si="6"/>
        <v>0</v>
      </c>
      <c r="V42" s="13"/>
      <c r="X42"/>
      <c r="Y42"/>
      <c r="Z42" s="144"/>
      <c r="AB42"/>
      <c r="AC42"/>
      <c r="AD42" s="144"/>
      <c r="AF42" s="87"/>
    </row>
    <row r="43" spans="1:32" ht="13.2" x14ac:dyDescent="0.25">
      <c r="A43" s="40">
        <v>54113</v>
      </c>
      <c r="B43" s="110" t="s">
        <v>112</v>
      </c>
      <c r="C43" s="94">
        <v>-140303.69</v>
      </c>
      <c r="D43" s="20"/>
      <c r="E43" s="87">
        <f t="shared" si="4"/>
        <v>-140303.69</v>
      </c>
      <c r="F43" s="20"/>
      <c r="G43" s="16">
        <f t="shared" si="7"/>
        <v>-140303.69</v>
      </c>
      <c r="H43" s="98"/>
      <c r="I43" s="74"/>
      <c r="J43" s="144">
        <v>-146501.29</v>
      </c>
      <c r="K43" s="20"/>
      <c r="L43" s="20"/>
      <c r="M43" s="87">
        <f t="shared" si="9"/>
        <v>-146501.29</v>
      </c>
      <c r="N43" s="20"/>
      <c r="O43" s="16">
        <f t="shared" ref="O43:O52" si="10">+M43-P43</f>
        <v>-146501.29</v>
      </c>
      <c r="P43" s="180"/>
      <c r="R43" s="139">
        <f t="shared" si="6"/>
        <v>0</v>
      </c>
      <c r="V43" s="13"/>
      <c r="X43"/>
      <c r="Y43"/>
      <c r="Z43" s="144"/>
      <c r="AB43"/>
      <c r="AC43"/>
      <c r="AD43" s="144"/>
      <c r="AF43" s="87"/>
    </row>
    <row r="44" spans="1:32" ht="13.2" x14ac:dyDescent="0.25">
      <c r="A44" s="40">
        <v>54121</v>
      </c>
      <c r="B44" s="110" t="s">
        <v>113</v>
      </c>
      <c r="C44" s="94">
        <v>-42412.09</v>
      </c>
      <c r="D44" s="20"/>
      <c r="E44" s="87">
        <f t="shared" si="4"/>
        <v>-42412.09</v>
      </c>
      <c r="F44" s="20"/>
      <c r="G44" s="16">
        <f t="shared" si="7"/>
        <v>-42412.09</v>
      </c>
      <c r="H44" s="98"/>
      <c r="I44" s="74"/>
      <c r="J44" s="144">
        <v>-44873.95</v>
      </c>
      <c r="K44" s="20"/>
      <c r="L44" s="20"/>
      <c r="M44" s="87">
        <f t="shared" si="9"/>
        <v>-44873.95</v>
      </c>
      <c r="N44" s="20"/>
      <c r="O44" s="16">
        <f t="shared" si="10"/>
        <v>-44873.95</v>
      </c>
      <c r="P44" s="180"/>
      <c r="R44" s="139">
        <f t="shared" si="6"/>
        <v>0</v>
      </c>
      <c r="V44" s="13"/>
      <c r="X44"/>
      <c r="Y44"/>
      <c r="Z44" s="144"/>
      <c r="AB44"/>
      <c r="AC44"/>
      <c r="AD44" s="144"/>
      <c r="AF44" s="87"/>
    </row>
    <row r="45" spans="1:32" ht="13.2" x14ac:dyDescent="0.25">
      <c r="A45" s="40">
        <v>54204</v>
      </c>
      <c r="B45" s="110" t="s">
        <v>114</v>
      </c>
      <c r="C45" s="94">
        <v>994822.96</v>
      </c>
      <c r="D45" s="20"/>
      <c r="E45" s="87">
        <f t="shared" si="4"/>
        <v>994822.96</v>
      </c>
      <c r="F45" s="20"/>
      <c r="G45" s="16">
        <f t="shared" si="7"/>
        <v>994822.96</v>
      </c>
      <c r="H45" s="98"/>
      <c r="I45" s="74"/>
      <c r="J45">
        <v>0</v>
      </c>
      <c r="K45" s="20"/>
      <c r="L45" s="20"/>
      <c r="M45" s="87">
        <f t="shared" si="9"/>
        <v>0</v>
      </c>
      <c r="N45" s="20"/>
      <c r="O45" s="16">
        <f t="shared" si="10"/>
        <v>0</v>
      </c>
      <c r="P45" s="180"/>
      <c r="R45" s="139">
        <f t="shared" si="6"/>
        <v>0</v>
      </c>
      <c r="V45" s="13"/>
      <c r="X45"/>
      <c r="Y45"/>
      <c r="Z45"/>
      <c r="AB45"/>
      <c r="AC45"/>
      <c r="AD45"/>
      <c r="AF45" s="87"/>
    </row>
    <row r="46" spans="1:32" ht="13.2" x14ac:dyDescent="0.25">
      <c r="A46" s="40">
        <v>54205</v>
      </c>
      <c r="B46" s="110" t="s">
        <v>242</v>
      </c>
      <c r="C46" s="94"/>
      <c r="D46" s="20"/>
      <c r="E46" s="87"/>
      <c r="F46" s="20"/>
      <c r="G46" s="16"/>
      <c r="H46" s="98"/>
      <c r="I46" s="74"/>
      <c r="J46" s="144">
        <v>260661</v>
      </c>
      <c r="K46" s="20"/>
      <c r="L46" s="20"/>
      <c r="M46" s="87">
        <f>+J46-K46-L46</f>
        <v>260661</v>
      </c>
      <c r="N46" s="20"/>
      <c r="O46" s="16">
        <f t="shared" si="10"/>
        <v>260661</v>
      </c>
      <c r="P46" s="180"/>
      <c r="R46" s="139">
        <f t="shared" si="6"/>
        <v>0</v>
      </c>
      <c r="V46" s="13"/>
      <c r="X46"/>
      <c r="Y46"/>
      <c r="Z46" s="144"/>
      <c r="AB46"/>
      <c r="AC46"/>
      <c r="AD46" s="144"/>
      <c r="AF46" s="87"/>
    </row>
    <row r="47" spans="1:32" ht="13.2" x14ac:dyDescent="0.25">
      <c r="A47" s="40">
        <v>54210</v>
      </c>
      <c r="B47" s="110" t="s">
        <v>115</v>
      </c>
      <c r="C47" s="94">
        <v>0</v>
      </c>
      <c r="D47" s="20"/>
      <c r="E47" s="87">
        <f t="shared" si="4"/>
        <v>0</v>
      </c>
      <c r="F47" s="20"/>
      <c r="G47" s="16">
        <f t="shared" si="7"/>
        <v>0</v>
      </c>
      <c r="H47" s="98"/>
      <c r="I47" s="74"/>
      <c r="J47" s="144">
        <v>112089</v>
      </c>
      <c r="K47" s="20"/>
      <c r="L47" s="20"/>
      <c r="M47" s="87">
        <f t="shared" ref="M47:M52" si="11">+J47-K47-L47</f>
        <v>112089</v>
      </c>
      <c r="N47" s="20"/>
      <c r="O47" s="16">
        <f t="shared" si="10"/>
        <v>112089</v>
      </c>
      <c r="P47" s="180"/>
      <c r="R47" s="139">
        <f t="shared" si="6"/>
        <v>0</v>
      </c>
      <c r="V47" s="13"/>
      <c r="X47"/>
      <c r="Y47"/>
      <c r="Z47" s="144"/>
      <c r="AB47"/>
      <c r="AC47"/>
      <c r="AD47" s="144"/>
      <c r="AF47" s="87"/>
    </row>
    <row r="48" spans="1:32" ht="13.2" x14ac:dyDescent="0.25">
      <c r="A48" s="40">
        <v>54211</v>
      </c>
      <c r="B48" s="110" t="s">
        <v>116</v>
      </c>
      <c r="C48" s="94">
        <v>7055482</v>
      </c>
      <c r="D48" s="20"/>
      <c r="E48" s="87">
        <f t="shared" si="4"/>
        <v>7055482</v>
      </c>
      <c r="F48" s="20"/>
      <c r="G48" s="16">
        <f t="shared" si="7"/>
        <v>7055482</v>
      </c>
      <c r="H48" s="98"/>
      <c r="I48" s="74"/>
      <c r="J48" s="144">
        <v>14055482</v>
      </c>
      <c r="K48" s="20"/>
      <c r="L48" s="20"/>
      <c r="M48" s="87">
        <f t="shared" si="11"/>
        <v>14055482</v>
      </c>
      <c r="N48" s="20"/>
      <c r="O48" s="16">
        <f t="shared" si="10"/>
        <v>14055482</v>
      </c>
      <c r="P48" s="180"/>
      <c r="R48" s="139">
        <f t="shared" si="6"/>
        <v>0</v>
      </c>
      <c r="V48" s="13"/>
      <c r="X48"/>
      <c r="Y48"/>
      <c r="Z48" s="144"/>
      <c r="AB48"/>
      <c r="AC48"/>
      <c r="AD48" s="144"/>
      <c r="AF48" s="87"/>
    </row>
    <row r="49" spans="1:32" ht="13.2" x14ac:dyDescent="0.25">
      <c r="A49" s="40">
        <v>54214</v>
      </c>
      <c r="B49" s="110" t="s">
        <v>117</v>
      </c>
      <c r="C49" s="94">
        <v>402769.99</v>
      </c>
      <c r="D49" s="20"/>
      <c r="E49" s="87">
        <f t="shared" si="4"/>
        <v>402769.99</v>
      </c>
      <c r="F49" s="20"/>
      <c r="G49" s="16">
        <f t="shared" si="7"/>
        <v>402769.99</v>
      </c>
      <c r="H49" s="98"/>
      <c r="I49" s="74"/>
      <c r="J49" s="144">
        <v>576888.86</v>
      </c>
      <c r="K49" s="20"/>
      <c r="L49" s="20"/>
      <c r="M49" s="87">
        <f t="shared" si="11"/>
        <v>576888.86</v>
      </c>
      <c r="N49" s="20"/>
      <c r="O49" s="16">
        <f t="shared" si="10"/>
        <v>576888.86</v>
      </c>
      <c r="P49" s="180"/>
      <c r="R49" s="139">
        <f t="shared" si="6"/>
        <v>0</v>
      </c>
      <c r="T49" s="15" t="s">
        <v>53</v>
      </c>
      <c r="U49" s="15"/>
      <c r="V49" s="188" t="s">
        <v>310</v>
      </c>
      <c r="W49" s="15" t="s">
        <v>311</v>
      </c>
      <c r="X49" s="189" t="s">
        <v>312</v>
      </c>
      <c r="Y49"/>
      <c r="Z49" s="144"/>
      <c r="AB49"/>
      <c r="AC49"/>
      <c r="AD49" s="144"/>
      <c r="AF49" s="87"/>
    </row>
    <row r="50" spans="1:32" ht="13.2" x14ac:dyDescent="0.25">
      <c r="A50" s="40">
        <v>54216</v>
      </c>
      <c r="B50" s="110" t="s">
        <v>118</v>
      </c>
      <c r="C50" s="94">
        <v>56790.57</v>
      </c>
      <c r="D50" s="20"/>
      <c r="E50" s="87">
        <f t="shared" si="4"/>
        <v>56790.57</v>
      </c>
      <c r="F50" s="20"/>
      <c r="G50" s="16">
        <f t="shared" si="7"/>
        <v>56790.57</v>
      </c>
      <c r="H50" s="98"/>
      <c r="I50" s="74"/>
      <c r="J50" s="144">
        <v>2063164.29</v>
      </c>
      <c r="K50" s="20"/>
      <c r="L50" s="20"/>
      <c r="M50" s="87">
        <f t="shared" si="11"/>
        <v>2063164.29</v>
      </c>
      <c r="N50" s="20"/>
      <c r="O50" s="16">
        <f t="shared" si="10"/>
        <v>2063164.29</v>
      </c>
      <c r="P50" s="180"/>
      <c r="R50" s="139">
        <f t="shared" si="6"/>
        <v>0</v>
      </c>
      <c r="V50" s="13"/>
      <c r="X50" s="185"/>
      <c r="Y50"/>
      <c r="Z50" s="144"/>
      <c r="AB50"/>
      <c r="AC50"/>
      <c r="AD50" s="144"/>
      <c r="AF50" s="87"/>
    </row>
    <row r="51" spans="1:32" ht="13.8" thickBot="1" x14ac:dyDescent="0.3">
      <c r="A51" s="40">
        <v>54219</v>
      </c>
      <c r="B51" s="110" t="s">
        <v>119</v>
      </c>
      <c r="C51" s="94">
        <v>-8509865.5199999996</v>
      </c>
      <c r="D51" s="20"/>
      <c r="E51" s="87">
        <f t="shared" si="4"/>
        <v>-8509865.5199999996</v>
      </c>
      <c r="F51" s="20"/>
      <c r="G51" s="16">
        <f t="shared" si="7"/>
        <v>-8509865.5199999996</v>
      </c>
      <c r="H51" s="98"/>
      <c r="I51" s="74"/>
      <c r="J51" s="144">
        <v>-16823428.699999999</v>
      </c>
      <c r="K51" s="20"/>
      <c r="L51" s="20"/>
      <c r="M51" s="87">
        <f t="shared" si="11"/>
        <v>-16823428.699999999</v>
      </c>
      <c r="N51" s="20"/>
      <c r="O51" s="16">
        <f t="shared" si="10"/>
        <v>-16823428.699999999</v>
      </c>
      <c r="P51" s="180"/>
      <c r="R51" s="139">
        <f t="shared" si="6"/>
        <v>0</v>
      </c>
      <c r="T51" s="183" t="s">
        <v>309</v>
      </c>
      <c r="U51" s="183"/>
      <c r="V51" s="184">
        <v>5476</v>
      </c>
      <c r="W51" s="183">
        <v>4646</v>
      </c>
      <c r="X51" s="190">
        <f>+W51-V51</f>
        <v>-830</v>
      </c>
      <c r="Y51"/>
      <c r="Z51" s="144"/>
      <c r="AB51"/>
      <c r="AC51"/>
      <c r="AD51" s="144"/>
      <c r="AF51" s="87"/>
    </row>
    <row r="52" spans="1:32" ht="13.8" thickTop="1" x14ac:dyDescent="0.25">
      <c r="A52" s="40">
        <v>54220</v>
      </c>
      <c r="B52" s="110" t="s">
        <v>120</v>
      </c>
      <c r="C52" s="94">
        <v>1916666.67</v>
      </c>
      <c r="D52" s="20"/>
      <c r="E52" s="87">
        <f t="shared" si="4"/>
        <v>1916666.67</v>
      </c>
      <c r="F52" s="20"/>
      <c r="G52" s="16">
        <f t="shared" si="7"/>
        <v>1772718.67</v>
      </c>
      <c r="H52" s="98">
        <f>71974*2</f>
        <v>143948</v>
      </c>
      <c r="I52" s="74"/>
      <c r="J52" s="144">
        <v>2875000</v>
      </c>
      <c r="K52" s="20"/>
      <c r="L52" s="20"/>
      <c r="M52" s="87">
        <f t="shared" si="11"/>
        <v>2875000</v>
      </c>
      <c r="N52" s="20"/>
      <c r="O52" s="16">
        <f t="shared" si="10"/>
        <v>2659077.9076</v>
      </c>
      <c r="P52" s="204">
        <f>+'Personalkost ON pr mars'!V64</f>
        <v>215922.09240000002</v>
      </c>
      <c r="R52" s="139">
        <f t="shared" si="6"/>
        <v>71974.092400000023</v>
      </c>
      <c r="V52" s="13"/>
      <c r="X52" s="186"/>
      <c r="Y52"/>
      <c r="Z52" s="144"/>
      <c r="AB52"/>
      <c r="AC52"/>
      <c r="AD52" s="144"/>
      <c r="AF52" s="87"/>
    </row>
    <row r="53" spans="1:32" ht="13.2" x14ac:dyDescent="0.25">
      <c r="A53" s="20"/>
      <c r="B53" s="110"/>
      <c r="C53" s="94"/>
      <c r="D53" s="20"/>
      <c r="E53" s="87"/>
      <c r="F53" s="20"/>
      <c r="G53" s="16"/>
      <c r="H53" s="22"/>
      <c r="I53" s="74"/>
      <c r="J53"/>
      <c r="K53" s="20"/>
      <c r="L53" s="20"/>
      <c r="M53" s="87"/>
      <c r="N53" s="20"/>
      <c r="O53" s="16"/>
      <c r="P53" s="180"/>
      <c r="R53" s="20"/>
      <c r="T53" s="12" t="s">
        <v>36</v>
      </c>
      <c r="V53" s="200">
        <v>2333.87</v>
      </c>
      <c r="W53" s="12">
        <v>2438</v>
      </c>
      <c r="X53" s="186">
        <f t="shared" ref="X53:X58" si="12">+W53-V53</f>
        <v>104.13000000000011</v>
      </c>
      <c r="Y53"/>
      <c r="Z53"/>
      <c r="AB53"/>
      <c r="AC53"/>
      <c r="AD53"/>
      <c r="AF53" s="87"/>
    </row>
    <row r="54" spans="1:32" ht="13.2" x14ac:dyDescent="0.25">
      <c r="A54" s="40">
        <v>56101</v>
      </c>
      <c r="B54" s="110" t="s">
        <v>121</v>
      </c>
      <c r="C54" s="94">
        <v>210177.81</v>
      </c>
      <c r="D54" s="20"/>
      <c r="E54" s="87">
        <f t="shared" si="4"/>
        <v>210177.81</v>
      </c>
      <c r="F54" s="20"/>
      <c r="G54" s="16">
        <f>+E54*$G$3</f>
        <v>189267.2625765306</v>
      </c>
      <c r="H54" s="98">
        <f>+E54*$H$3</f>
        <v>20910.547423469387</v>
      </c>
      <c r="I54" s="74"/>
      <c r="J54" s="144">
        <v>315773.59000000003</v>
      </c>
      <c r="K54" s="20"/>
      <c r="L54" s="20"/>
      <c r="M54" s="87">
        <f t="shared" ref="M54:M76" si="13">+J54-K54-L54</f>
        <v>315773.59000000003</v>
      </c>
      <c r="N54" s="20"/>
      <c r="O54" s="16">
        <f>+M54*$G$3</f>
        <v>284357.33997448982</v>
      </c>
      <c r="P54" s="206">
        <f>+M54*$H$3</f>
        <v>31416.250025510206</v>
      </c>
      <c r="R54" s="139">
        <f t="shared" ref="R54:R77" si="14">+P54-H54</f>
        <v>10505.702602040819</v>
      </c>
      <c r="T54" s="12" t="s">
        <v>315</v>
      </c>
      <c r="V54" s="201">
        <v>329</v>
      </c>
      <c r="W54" s="12">
        <v>637</v>
      </c>
      <c r="X54" s="186">
        <f t="shared" si="12"/>
        <v>308</v>
      </c>
      <c r="Y54"/>
      <c r="Z54" s="144"/>
      <c r="AB54"/>
      <c r="AC54"/>
      <c r="AD54" s="144"/>
      <c r="AF54" s="87"/>
    </row>
    <row r="55" spans="1:32" ht="13.2" x14ac:dyDescent="0.25">
      <c r="A55" s="40">
        <v>56102</v>
      </c>
      <c r="B55" s="110" t="s">
        <v>243</v>
      </c>
      <c r="C55" s="94"/>
      <c r="D55" s="20"/>
      <c r="E55" s="87"/>
      <c r="F55" s="20"/>
      <c r="G55" s="16"/>
      <c r="H55" s="98"/>
      <c r="I55" s="74"/>
      <c r="J55" s="144">
        <v>2140</v>
      </c>
      <c r="K55" s="20"/>
      <c r="L55" s="20"/>
      <c r="M55" s="87">
        <f t="shared" si="13"/>
        <v>2140</v>
      </c>
      <c r="N55" s="20"/>
      <c r="O55" s="16">
        <f>+M55*$G$3</f>
        <v>1927.0918367346937</v>
      </c>
      <c r="P55" s="206">
        <f>+M55*$H$3</f>
        <v>212.90816326530611</v>
      </c>
      <c r="R55" s="139">
        <f t="shared" si="14"/>
        <v>212.90816326530611</v>
      </c>
      <c r="T55" s="12" t="s">
        <v>60</v>
      </c>
      <c r="V55" s="203">
        <v>215.9</v>
      </c>
      <c r="W55" s="12">
        <v>198</v>
      </c>
      <c r="X55" s="186">
        <f t="shared" si="12"/>
        <v>-17.900000000000006</v>
      </c>
      <c r="Y55"/>
      <c r="Z55" s="144"/>
      <c r="AB55"/>
      <c r="AC55"/>
      <c r="AD55" s="144"/>
      <c r="AF55" s="87"/>
    </row>
    <row r="56" spans="1:32" ht="13.2" x14ac:dyDescent="0.25">
      <c r="A56" s="40">
        <v>56111</v>
      </c>
      <c r="B56" s="110" t="s">
        <v>122</v>
      </c>
      <c r="C56" s="94">
        <v>145134.9</v>
      </c>
      <c r="D56" s="20"/>
      <c r="E56" s="87">
        <f t="shared" si="4"/>
        <v>145134.9</v>
      </c>
      <c r="F56" s="20"/>
      <c r="G56" s="16">
        <f t="shared" ref="G56:G77" si="15">+E56*$G$3</f>
        <v>130695.45841836734</v>
      </c>
      <c r="H56" s="98">
        <f t="shared" ref="H56:H77" si="16">+E56*$H$3</f>
        <v>14439.441581632653</v>
      </c>
      <c r="I56" s="74"/>
      <c r="J56" s="144">
        <v>219541.82</v>
      </c>
      <c r="K56" s="20"/>
      <c r="L56" s="20"/>
      <c r="M56" s="87">
        <f t="shared" si="13"/>
        <v>219541.82</v>
      </c>
      <c r="N56" s="20"/>
      <c r="O56" s="16">
        <f t="shared" ref="O56:O77" si="17">+M56*$G$3</f>
        <v>197699.64913265305</v>
      </c>
      <c r="P56" s="206">
        <f t="shared" ref="P56:P76" si="18">+M56*$H$3</f>
        <v>21842.17086734694</v>
      </c>
      <c r="R56" s="139">
        <f t="shared" si="14"/>
        <v>7402.7292857142875</v>
      </c>
      <c r="T56" s="12" t="s">
        <v>314</v>
      </c>
      <c r="V56" s="205">
        <v>116</v>
      </c>
      <c r="W56" s="12">
        <v>111</v>
      </c>
      <c r="X56" s="186">
        <f t="shared" si="12"/>
        <v>-5</v>
      </c>
      <c r="Y56"/>
      <c r="Z56" s="144"/>
      <c r="AB56"/>
      <c r="AC56"/>
      <c r="AD56" s="144"/>
      <c r="AF56" s="87"/>
    </row>
    <row r="57" spans="1:32" ht="13.2" x14ac:dyDescent="0.25">
      <c r="A57" s="40">
        <v>56112</v>
      </c>
      <c r="B57" s="110" t="s">
        <v>123</v>
      </c>
      <c r="C57" s="94">
        <v>-145134.9</v>
      </c>
      <c r="D57" s="20"/>
      <c r="E57" s="87">
        <f t="shared" si="4"/>
        <v>-145134.9</v>
      </c>
      <c r="F57" s="20"/>
      <c r="G57" s="16">
        <f t="shared" si="15"/>
        <v>-130695.45841836734</v>
      </c>
      <c r="H57" s="98">
        <f t="shared" si="16"/>
        <v>-14439.441581632653</v>
      </c>
      <c r="I57" s="74"/>
      <c r="J57" s="144">
        <v>-219541.82</v>
      </c>
      <c r="K57" s="20"/>
      <c r="L57" s="20"/>
      <c r="M57" s="87">
        <f t="shared" si="13"/>
        <v>-219541.82</v>
      </c>
      <c r="N57" s="20"/>
      <c r="O57" s="16">
        <f t="shared" si="17"/>
        <v>-197699.64913265305</v>
      </c>
      <c r="P57" s="206">
        <f t="shared" si="18"/>
        <v>-21842.17086734694</v>
      </c>
      <c r="R57" s="139">
        <f t="shared" si="14"/>
        <v>-7402.7292857142875</v>
      </c>
      <c r="X57" s="186"/>
      <c r="Y57"/>
      <c r="Z57" s="144"/>
      <c r="AB57"/>
      <c r="AC57"/>
      <c r="AD57" s="144"/>
      <c r="AF57" s="87"/>
    </row>
    <row r="58" spans="1:32" ht="13.2" x14ac:dyDescent="0.25">
      <c r="A58" s="40">
        <v>56201</v>
      </c>
      <c r="B58" s="110" t="s">
        <v>124</v>
      </c>
      <c r="C58" s="94">
        <v>74</v>
      </c>
      <c r="D58" s="20"/>
      <c r="E58" s="87">
        <f t="shared" si="4"/>
        <v>74</v>
      </c>
      <c r="F58" s="20"/>
      <c r="G58" s="16">
        <f t="shared" si="15"/>
        <v>66.637755102040813</v>
      </c>
      <c r="H58" s="98">
        <f t="shared" si="16"/>
        <v>7.3622448979591839</v>
      </c>
      <c r="I58" s="74"/>
      <c r="J58">
        <v>296</v>
      </c>
      <c r="K58" s="20"/>
      <c r="L58" s="20"/>
      <c r="M58" s="87">
        <f t="shared" si="13"/>
        <v>296</v>
      </c>
      <c r="N58" s="20"/>
      <c r="O58" s="16">
        <f t="shared" si="17"/>
        <v>266.55102040816325</v>
      </c>
      <c r="P58" s="206">
        <f t="shared" si="18"/>
        <v>29.448979591836736</v>
      </c>
      <c r="R58" s="139">
        <f t="shared" si="14"/>
        <v>22.086734693877553</v>
      </c>
      <c r="T58" s="12" t="s">
        <v>299</v>
      </c>
      <c r="V58" s="20">
        <v>311</v>
      </c>
      <c r="W58" s="12">
        <v>232</v>
      </c>
      <c r="X58" s="186">
        <f t="shared" si="12"/>
        <v>-79</v>
      </c>
      <c r="Y58"/>
      <c r="Z58"/>
      <c r="AB58"/>
      <c r="AC58"/>
      <c r="AD58"/>
      <c r="AF58" s="87"/>
    </row>
    <row r="59" spans="1:32" ht="13.2" x14ac:dyDescent="0.25">
      <c r="A59" s="40">
        <v>56203</v>
      </c>
      <c r="B59" s="110" t="s">
        <v>125</v>
      </c>
      <c r="C59" s="94">
        <v>6216</v>
      </c>
      <c r="D59" s="20"/>
      <c r="E59" s="87">
        <f t="shared" si="4"/>
        <v>6216</v>
      </c>
      <c r="F59" s="20"/>
      <c r="G59" s="16">
        <f t="shared" si="15"/>
        <v>5597.5714285714284</v>
      </c>
      <c r="H59" s="98">
        <f t="shared" si="16"/>
        <v>618.42857142857144</v>
      </c>
      <c r="I59" s="74"/>
      <c r="J59" s="144">
        <v>10543.5</v>
      </c>
      <c r="K59" s="20"/>
      <c r="L59" s="20"/>
      <c r="M59" s="87">
        <f t="shared" si="13"/>
        <v>10543.5</v>
      </c>
      <c r="N59" s="20"/>
      <c r="O59" s="16">
        <f t="shared" si="17"/>
        <v>9494.5293367346931</v>
      </c>
      <c r="P59" s="206">
        <f t="shared" si="18"/>
        <v>1048.970663265306</v>
      </c>
      <c r="R59" s="139">
        <f t="shared" si="14"/>
        <v>430.54209183673458</v>
      </c>
      <c r="T59" s="12" t="s">
        <v>300</v>
      </c>
      <c r="V59" s="220">
        <v>114</v>
      </c>
      <c r="W59" s="12">
        <v>35</v>
      </c>
      <c r="X59" s="186">
        <f t="shared" ref="X59:X67" si="19">+W59-V59</f>
        <v>-79</v>
      </c>
      <c r="Y59"/>
      <c r="Z59" s="144"/>
      <c r="AB59"/>
      <c r="AC59"/>
      <c r="AD59" s="144"/>
      <c r="AF59" s="87"/>
    </row>
    <row r="60" spans="1:32" ht="13.2" x14ac:dyDescent="0.25">
      <c r="A60" s="40">
        <v>59101</v>
      </c>
      <c r="B60" s="110" t="s">
        <v>126</v>
      </c>
      <c r="C60" s="94">
        <v>1899</v>
      </c>
      <c r="D60" s="20"/>
      <c r="E60" s="87">
        <f t="shared" si="4"/>
        <v>1899</v>
      </c>
      <c r="F60" s="20"/>
      <c r="G60" s="16">
        <f t="shared" si="15"/>
        <v>1710.0688775510203</v>
      </c>
      <c r="H60" s="98">
        <f t="shared" si="16"/>
        <v>188.93112244897958</v>
      </c>
      <c r="I60" s="74"/>
      <c r="J60" s="144">
        <v>1899</v>
      </c>
      <c r="K60" s="20"/>
      <c r="L60" s="20"/>
      <c r="M60" s="87">
        <f t="shared" si="13"/>
        <v>1899</v>
      </c>
      <c r="N60" s="20"/>
      <c r="O60" s="16">
        <f t="shared" si="17"/>
        <v>1710.0688775510203</v>
      </c>
      <c r="P60" s="206">
        <f t="shared" si="18"/>
        <v>188.93112244897958</v>
      </c>
      <c r="R60" s="139">
        <f t="shared" si="14"/>
        <v>0</v>
      </c>
      <c r="T60" s="12" t="s">
        <v>301</v>
      </c>
      <c r="V60" s="218">
        <v>206</v>
      </c>
      <c r="W60" s="12">
        <v>111</v>
      </c>
      <c r="X60" s="186">
        <f t="shared" si="19"/>
        <v>-95</v>
      </c>
      <c r="Y60"/>
      <c r="Z60" s="144"/>
      <c r="AB60"/>
      <c r="AC60"/>
      <c r="AD60" s="144"/>
      <c r="AF60" s="87"/>
    </row>
    <row r="61" spans="1:32" ht="13.2" x14ac:dyDescent="0.25">
      <c r="A61" s="40">
        <v>59103</v>
      </c>
      <c r="B61" s="110" t="s">
        <v>127</v>
      </c>
      <c r="C61" s="94">
        <v>24000</v>
      </c>
      <c r="D61" s="20"/>
      <c r="E61" s="87">
        <f t="shared" si="4"/>
        <v>24000</v>
      </c>
      <c r="F61" s="20"/>
      <c r="G61" s="16">
        <f t="shared" si="15"/>
        <v>21612.244897959183</v>
      </c>
      <c r="H61" s="98">
        <f t="shared" si="16"/>
        <v>2387.7551020408164</v>
      </c>
      <c r="I61" s="74"/>
      <c r="J61" s="144">
        <v>29085</v>
      </c>
      <c r="K61" s="20"/>
      <c r="L61" s="20"/>
      <c r="M61" s="87">
        <f t="shared" si="13"/>
        <v>29085</v>
      </c>
      <c r="N61" s="20"/>
      <c r="O61" s="16">
        <f t="shared" si="17"/>
        <v>26191.339285714286</v>
      </c>
      <c r="P61" s="206">
        <f t="shared" si="18"/>
        <v>2893.6607142857142</v>
      </c>
      <c r="R61" s="139">
        <f t="shared" si="14"/>
        <v>505.90561224489784</v>
      </c>
      <c r="T61" s="12" t="s">
        <v>302</v>
      </c>
      <c r="V61" s="203">
        <v>68</v>
      </c>
      <c r="W61" s="12">
        <v>37</v>
      </c>
      <c r="X61" s="186">
        <f t="shared" si="19"/>
        <v>-31</v>
      </c>
      <c r="Y61"/>
      <c r="Z61" s="144"/>
      <c r="AB61"/>
      <c r="AC61"/>
      <c r="AD61" s="144"/>
      <c r="AF61" s="87"/>
    </row>
    <row r="62" spans="1:32" ht="13.2" x14ac:dyDescent="0.25">
      <c r="A62" s="40">
        <v>59111</v>
      </c>
      <c r="B62" s="110" t="s">
        <v>128</v>
      </c>
      <c r="C62" s="94">
        <v>2010</v>
      </c>
      <c r="D62" s="20"/>
      <c r="E62" s="87">
        <f t="shared" si="4"/>
        <v>2010</v>
      </c>
      <c r="F62" s="20"/>
      <c r="G62" s="16">
        <f t="shared" si="15"/>
        <v>1810.0255102040817</v>
      </c>
      <c r="H62" s="98">
        <f t="shared" si="16"/>
        <v>199.97448979591837</v>
      </c>
      <c r="I62" s="74"/>
      <c r="J62" s="144">
        <v>2010</v>
      </c>
      <c r="K62" s="20"/>
      <c r="L62" s="20"/>
      <c r="M62" s="87">
        <f t="shared" si="13"/>
        <v>2010</v>
      </c>
      <c r="N62" s="20"/>
      <c r="O62" s="16">
        <f t="shared" si="17"/>
        <v>1810.0255102040817</v>
      </c>
      <c r="P62" s="206">
        <f t="shared" si="18"/>
        <v>199.97448979591837</v>
      </c>
      <c r="R62" s="139">
        <f t="shared" si="14"/>
        <v>0</v>
      </c>
      <c r="T62" s="12" t="s">
        <v>303</v>
      </c>
      <c r="V62" s="221">
        <v>196</v>
      </c>
      <c r="W62" s="12">
        <v>157</v>
      </c>
      <c r="X62" s="186">
        <f t="shared" si="19"/>
        <v>-39</v>
      </c>
      <c r="Y62"/>
      <c r="Z62" s="144"/>
      <c r="AB62"/>
      <c r="AC62"/>
      <c r="AD62" s="144"/>
      <c r="AF62" s="87"/>
    </row>
    <row r="63" spans="1:32" ht="13.2" x14ac:dyDescent="0.25">
      <c r="A63" s="40">
        <v>59115</v>
      </c>
      <c r="B63" s="110" t="s">
        <v>244</v>
      </c>
      <c r="C63" s="94"/>
      <c r="D63" s="20"/>
      <c r="E63" s="87"/>
      <c r="F63" s="20"/>
      <c r="G63" s="16"/>
      <c r="H63" s="98"/>
      <c r="I63" s="74"/>
      <c r="J63" s="144">
        <v>1500</v>
      </c>
      <c r="K63" s="20"/>
      <c r="L63" s="20"/>
      <c r="M63" s="87">
        <f t="shared" si="13"/>
        <v>1500</v>
      </c>
      <c r="N63" s="20"/>
      <c r="O63" s="16">
        <f t="shared" si="17"/>
        <v>1350.7653061224489</v>
      </c>
      <c r="P63" s="206">
        <f t="shared" si="18"/>
        <v>149.23469387755102</v>
      </c>
      <c r="R63" s="139">
        <f t="shared" si="14"/>
        <v>149.23469387755102</v>
      </c>
      <c r="T63" s="12" t="s">
        <v>304</v>
      </c>
      <c r="V63" s="222">
        <v>158</v>
      </c>
      <c r="W63" s="12">
        <v>109</v>
      </c>
      <c r="X63" s="186">
        <f t="shared" si="19"/>
        <v>-49</v>
      </c>
      <c r="Y63"/>
      <c r="Z63" s="144"/>
      <c r="AB63"/>
      <c r="AC63"/>
      <c r="AD63" s="144"/>
      <c r="AF63" s="87"/>
    </row>
    <row r="64" spans="1:32" ht="13.2" x14ac:dyDescent="0.25">
      <c r="A64" s="40">
        <v>59123</v>
      </c>
      <c r="B64" s="110" t="s">
        <v>245</v>
      </c>
      <c r="C64" s="94"/>
      <c r="D64" s="20"/>
      <c r="E64" s="87"/>
      <c r="F64" s="20"/>
      <c r="G64" s="16"/>
      <c r="H64" s="98"/>
      <c r="I64" s="74"/>
      <c r="J64" s="144">
        <v>8635</v>
      </c>
      <c r="K64" s="20"/>
      <c r="L64" s="20"/>
      <c r="M64" s="87">
        <f t="shared" si="13"/>
        <v>8635</v>
      </c>
      <c r="N64" s="20"/>
      <c r="O64" s="16">
        <f t="shared" si="17"/>
        <v>7775.9056122448974</v>
      </c>
      <c r="P64" s="206">
        <f t="shared" si="18"/>
        <v>859.09438775510205</v>
      </c>
      <c r="R64" s="139">
        <f t="shared" si="14"/>
        <v>859.09438775510205</v>
      </c>
      <c r="T64" s="12" t="s">
        <v>305</v>
      </c>
      <c r="V64" s="216">
        <v>34</v>
      </c>
      <c r="W64" s="12">
        <v>78</v>
      </c>
      <c r="X64" s="186">
        <f t="shared" si="19"/>
        <v>44</v>
      </c>
      <c r="Y64"/>
      <c r="Z64" s="144"/>
      <c r="AB64"/>
      <c r="AC64"/>
      <c r="AD64" s="144"/>
      <c r="AF64" s="87"/>
    </row>
    <row r="65" spans="1:32" ht="13.2" x14ac:dyDescent="0.25">
      <c r="A65" s="40">
        <v>59161</v>
      </c>
      <c r="B65" s="110" t="s">
        <v>129</v>
      </c>
      <c r="C65" s="94">
        <v>3905</v>
      </c>
      <c r="D65" s="20"/>
      <c r="E65" s="87">
        <f t="shared" si="4"/>
        <v>3905</v>
      </c>
      <c r="F65" s="20"/>
      <c r="G65" s="16">
        <f t="shared" si="15"/>
        <v>3516.4923469387754</v>
      </c>
      <c r="H65" s="98">
        <f t="shared" si="16"/>
        <v>388.50765306122446</v>
      </c>
      <c r="I65" s="74"/>
      <c r="J65" s="144">
        <v>5950.91</v>
      </c>
      <c r="K65" s="20"/>
      <c r="L65" s="20"/>
      <c r="M65" s="87">
        <f t="shared" si="13"/>
        <v>5950.91</v>
      </c>
      <c r="N65" s="20"/>
      <c r="O65" s="16">
        <f t="shared" si="17"/>
        <v>5358.855178571428</v>
      </c>
      <c r="P65" s="206">
        <f t="shared" si="18"/>
        <v>592.05482142857136</v>
      </c>
      <c r="R65" s="139">
        <f t="shared" si="14"/>
        <v>203.5471683673469</v>
      </c>
      <c r="T65" s="12" t="s">
        <v>306</v>
      </c>
      <c r="V65" s="212">
        <v>7</v>
      </c>
      <c r="W65" s="12">
        <v>8</v>
      </c>
      <c r="X65" s="186">
        <f t="shared" si="19"/>
        <v>1</v>
      </c>
      <c r="Y65"/>
      <c r="Z65" s="144"/>
      <c r="AB65"/>
      <c r="AC65"/>
      <c r="AD65" s="144"/>
      <c r="AF65" s="87"/>
    </row>
    <row r="66" spans="1:32" ht="13.2" x14ac:dyDescent="0.25">
      <c r="A66" s="40">
        <v>59165</v>
      </c>
      <c r="B66" s="110" t="s">
        <v>130</v>
      </c>
      <c r="C66" s="94">
        <v>42320</v>
      </c>
      <c r="D66" s="20"/>
      <c r="E66" s="87">
        <f t="shared" si="4"/>
        <v>42320</v>
      </c>
      <c r="F66" s="20"/>
      <c r="G66" s="16">
        <f t="shared" si="15"/>
        <v>38109.591836734689</v>
      </c>
      <c r="H66" s="98">
        <f t="shared" si="16"/>
        <v>4210.408163265306</v>
      </c>
      <c r="I66" s="74"/>
      <c r="J66" s="144">
        <v>76920</v>
      </c>
      <c r="K66" s="20"/>
      <c r="L66" s="20"/>
      <c r="M66" s="87">
        <f t="shared" si="13"/>
        <v>76920</v>
      </c>
      <c r="N66" s="20"/>
      <c r="O66" s="16">
        <f t="shared" si="17"/>
        <v>69267.244897959186</v>
      </c>
      <c r="P66" s="206">
        <f t="shared" si="18"/>
        <v>7652.7551020408164</v>
      </c>
      <c r="R66" s="139">
        <f t="shared" si="14"/>
        <v>3442.3469387755104</v>
      </c>
      <c r="T66" s="181" t="s">
        <v>308</v>
      </c>
      <c r="V66" s="210">
        <v>17</v>
      </c>
      <c r="W66" s="12">
        <v>18</v>
      </c>
      <c r="X66" s="186">
        <f t="shared" si="19"/>
        <v>1</v>
      </c>
      <c r="Y66"/>
      <c r="Z66" s="144"/>
      <c r="AB66"/>
      <c r="AC66"/>
      <c r="AD66" s="144"/>
      <c r="AF66" s="87"/>
    </row>
    <row r="67" spans="1:32" ht="13.2" x14ac:dyDescent="0.25">
      <c r="A67" s="40">
        <v>59215</v>
      </c>
      <c r="B67" s="110" t="s">
        <v>45</v>
      </c>
      <c r="C67" s="94">
        <v>150762.32999999999</v>
      </c>
      <c r="D67" s="20"/>
      <c r="E67" s="87">
        <f t="shared" si="4"/>
        <v>150762.32999999999</v>
      </c>
      <c r="F67" s="20"/>
      <c r="G67" s="16">
        <f t="shared" si="15"/>
        <v>135763.01655612243</v>
      </c>
      <c r="H67" s="98">
        <f t="shared" si="16"/>
        <v>14999.313443877551</v>
      </c>
      <c r="I67" s="74"/>
      <c r="J67" s="144">
        <v>225107.79</v>
      </c>
      <c r="K67" s="20"/>
      <c r="L67" s="20"/>
      <c r="M67" s="87">
        <f t="shared" si="13"/>
        <v>225107.79</v>
      </c>
      <c r="N67" s="20"/>
      <c r="O67" s="16">
        <f t="shared" si="17"/>
        <v>202711.86191326531</v>
      </c>
      <c r="P67" s="206">
        <f t="shared" si="18"/>
        <v>22395.928086734693</v>
      </c>
      <c r="R67" s="139">
        <f t="shared" si="14"/>
        <v>7396.6146428571428</v>
      </c>
      <c r="T67" s="12" t="s">
        <v>307</v>
      </c>
      <c r="V67" s="207">
        <v>1728</v>
      </c>
      <c r="W67" s="12">
        <v>1471</v>
      </c>
      <c r="X67" s="186">
        <f t="shared" si="19"/>
        <v>-257</v>
      </c>
      <c r="Y67"/>
      <c r="Z67" s="144"/>
      <c r="AB67"/>
      <c r="AC67"/>
      <c r="AD67" s="144"/>
      <c r="AF67" s="87"/>
    </row>
    <row r="68" spans="1:32" ht="13.2" x14ac:dyDescent="0.25">
      <c r="A68" s="40">
        <v>59501</v>
      </c>
      <c r="B68" s="110" t="s">
        <v>131</v>
      </c>
      <c r="C68" s="94">
        <v>4014.4</v>
      </c>
      <c r="D68" s="20"/>
      <c r="E68" s="87">
        <f t="shared" si="4"/>
        <v>4014.4</v>
      </c>
      <c r="F68" s="20"/>
      <c r="G68" s="16">
        <f t="shared" si="15"/>
        <v>3615.0081632653059</v>
      </c>
      <c r="H68" s="98">
        <f t="shared" si="16"/>
        <v>399.39183673469387</v>
      </c>
      <c r="I68" s="74"/>
      <c r="J68" s="144">
        <v>6450</v>
      </c>
      <c r="K68" s="20"/>
      <c r="L68" s="20"/>
      <c r="M68" s="87">
        <f t="shared" si="13"/>
        <v>6450</v>
      </c>
      <c r="N68" s="20"/>
      <c r="O68" s="16">
        <f t="shared" si="17"/>
        <v>5808.2908163265301</v>
      </c>
      <c r="P68" s="206">
        <f t="shared" si="18"/>
        <v>641.7091836734694</v>
      </c>
      <c r="R68" s="139">
        <f t="shared" si="14"/>
        <v>242.31734693877553</v>
      </c>
      <c r="X68" s="138"/>
      <c r="Y68"/>
      <c r="Z68" s="144"/>
      <c r="AB68"/>
      <c r="AC68"/>
      <c r="AD68" s="144"/>
      <c r="AF68" s="87"/>
    </row>
    <row r="69" spans="1:32" ht="13.2" x14ac:dyDescent="0.25">
      <c r="A69" s="40">
        <v>59511</v>
      </c>
      <c r="B69" s="110" t="s">
        <v>131</v>
      </c>
      <c r="C69" s="94">
        <v>35985.599999999999</v>
      </c>
      <c r="D69" s="20"/>
      <c r="E69" s="87">
        <f t="shared" si="4"/>
        <v>35985.599999999999</v>
      </c>
      <c r="F69" s="20"/>
      <c r="G69" s="16">
        <f t="shared" si="15"/>
        <v>32405.399999999998</v>
      </c>
      <c r="H69" s="98">
        <f t="shared" si="16"/>
        <v>3580.2</v>
      </c>
      <c r="I69" s="74"/>
      <c r="J69" s="144">
        <v>53550</v>
      </c>
      <c r="K69" s="20"/>
      <c r="L69" s="20"/>
      <c r="M69" s="87">
        <f t="shared" si="13"/>
        <v>53550</v>
      </c>
      <c r="N69" s="20"/>
      <c r="O69" s="16">
        <f t="shared" si="17"/>
        <v>48222.321428571428</v>
      </c>
      <c r="P69" s="206">
        <f t="shared" si="18"/>
        <v>5327.6785714285716</v>
      </c>
      <c r="R69" s="139">
        <f t="shared" si="14"/>
        <v>1747.4785714285717</v>
      </c>
      <c r="X69" s="138"/>
      <c r="Y69"/>
      <c r="Z69" s="144"/>
      <c r="AB69"/>
      <c r="AC69"/>
      <c r="AD69" s="144"/>
      <c r="AF69" s="87"/>
    </row>
    <row r="70" spans="1:32" ht="13.8" thickBot="1" x14ac:dyDescent="0.3">
      <c r="A70" s="40">
        <v>59599</v>
      </c>
      <c r="B70" s="111" t="s">
        <v>132</v>
      </c>
      <c r="C70" s="94">
        <v>-35985.599999999999</v>
      </c>
      <c r="D70" s="87"/>
      <c r="E70" s="87">
        <f t="shared" si="4"/>
        <v>-35985.599999999999</v>
      </c>
      <c r="F70" s="20"/>
      <c r="G70" s="16">
        <f t="shared" si="15"/>
        <v>-32405.399999999998</v>
      </c>
      <c r="H70" s="98">
        <f t="shared" si="16"/>
        <v>-3580.2</v>
      </c>
      <c r="I70" s="85"/>
      <c r="J70" s="144">
        <v>-53550</v>
      </c>
      <c r="K70" s="87"/>
      <c r="L70" s="87"/>
      <c r="M70" s="87">
        <f t="shared" si="13"/>
        <v>-53550</v>
      </c>
      <c r="N70" s="20"/>
      <c r="O70" s="16">
        <f t="shared" si="17"/>
        <v>-48222.321428571428</v>
      </c>
      <c r="P70" s="206">
        <f t="shared" si="18"/>
        <v>-5327.6785714285716</v>
      </c>
      <c r="R70" s="139">
        <f t="shared" si="14"/>
        <v>-1747.4785714285717</v>
      </c>
      <c r="T70" s="183" t="s">
        <v>313</v>
      </c>
      <c r="U70" s="183"/>
      <c r="V70" s="184">
        <f>SUM(V53:V69)</f>
        <v>5833.77</v>
      </c>
      <c r="W70" s="184">
        <f>SUM(W53:W69)</f>
        <v>5640</v>
      </c>
      <c r="X70" s="187">
        <f>SUM(X53:X69)</f>
        <v>-193.76999999999987</v>
      </c>
      <c r="Y70"/>
      <c r="Z70" s="144"/>
      <c r="AB70"/>
      <c r="AC70"/>
      <c r="AD70" s="144"/>
      <c r="AF70" s="87"/>
    </row>
    <row r="71" spans="1:32" ht="13.8" thickTop="1" x14ac:dyDescent="0.25">
      <c r="A71" s="40">
        <v>59901</v>
      </c>
      <c r="B71" s="110" t="s">
        <v>133</v>
      </c>
      <c r="C71" s="94">
        <v>-8613</v>
      </c>
      <c r="D71" s="87"/>
      <c r="E71" s="87">
        <f t="shared" si="4"/>
        <v>-8613</v>
      </c>
      <c r="G71" s="16">
        <f t="shared" si="15"/>
        <v>-7756.0943877551017</v>
      </c>
      <c r="H71" s="98">
        <f t="shared" si="16"/>
        <v>-856.90561224489795</v>
      </c>
      <c r="I71" s="85"/>
      <c r="J71" s="144">
        <v>86112</v>
      </c>
      <c r="K71" s="87"/>
      <c r="L71" s="87"/>
      <c r="M71" s="87">
        <f t="shared" si="13"/>
        <v>86112</v>
      </c>
      <c r="O71" s="16">
        <f t="shared" si="17"/>
        <v>77544.734693877544</v>
      </c>
      <c r="P71" s="206">
        <f t="shared" si="18"/>
        <v>8567.2653061224482</v>
      </c>
      <c r="R71" s="139">
        <f t="shared" si="14"/>
        <v>9424.1709183673465</v>
      </c>
      <c r="Y71"/>
      <c r="Z71" s="144"/>
      <c r="AB71"/>
      <c r="AC71"/>
      <c r="AD71" s="144"/>
      <c r="AF71" s="87"/>
    </row>
    <row r="72" spans="1:32" ht="13.2" x14ac:dyDescent="0.25">
      <c r="A72" s="40">
        <v>59913</v>
      </c>
      <c r="B72" s="110" t="s">
        <v>134</v>
      </c>
      <c r="C72" s="94">
        <v>8613</v>
      </c>
      <c r="D72" s="87"/>
      <c r="E72" s="87">
        <f t="shared" si="4"/>
        <v>8613</v>
      </c>
      <c r="G72" s="16">
        <f t="shared" si="15"/>
        <v>7756.0943877551017</v>
      </c>
      <c r="H72" s="98">
        <f t="shared" si="16"/>
        <v>856.90561224489795</v>
      </c>
      <c r="I72" s="85"/>
      <c r="J72" s="144">
        <v>12922</v>
      </c>
      <c r="K72" s="87"/>
      <c r="L72" s="87"/>
      <c r="M72" s="87">
        <f t="shared" si="13"/>
        <v>12922</v>
      </c>
      <c r="O72" s="16">
        <f t="shared" si="17"/>
        <v>11636.392857142857</v>
      </c>
      <c r="P72" s="206">
        <f t="shared" si="18"/>
        <v>1285.6071428571429</v>
      </c>
      <c r="R72" s="139">
        <f t="shared" si="14"/>
        <v>428.70153061224494</v>
      </c>
      <c r="Y72"/>
      <c r="Z72" s="144"/>
      <c r="AB72"/>
      <c r="AC72"/>
      <c r="AD72" s="144"/>
      <c r="AF72" s="87"/>
    </row>
    <row r="73" spans="1:32" ht="13.2" x14ac:dyDescent="0.25">
      <c r="A73" s="40">
        <v>59914</v>
      </c>
      <c r="B73" s="110" t="s">
        <v>134</v>
      </c>
      <c r="C73" s="94">
        <v>-8613</v>
      </c>
      <c r="D73" s="87"/>
      <c r="E73" s="87">
        <f t="shared" si="4"/>
        <v>-8613</v>
      </c>
      <c r="G73" s="16">
        <f t="shared" si="15"/>
        <v>-7756.0943877551017</v>
      </c>
      <c r="H73" s="98">
        <f t="shared" si="16"/>
        <v>-856.90561224489795</v>
      </c>
      <c r="I73" s="85"/>
      <c r="J73" s="144">
        <v>-12922</v>
      </c>
      <c r="K73" s="87"/>
      <c r="L73" s="87"/>
      <c r="M73" s="87">
        <f t="shared" si="13"/>
        <v>-12922</v>
      </c>
      <c r="O73" s="16">
        <f t="shared" si="17"/>
        <v>-11636.392857142857</v>
      </c>
      <c r="P73" s="206">
        <f t="shared" si="18"/>
        <v>-1285.6071428571429</v>
      </c>
      <c r="R73" s="139">
        <f t="shared" si="14"/>
        <v>-428.70153061224494</v>
      </c>
      <c r="Y73"/>
      <c r="Z73" s="144"/>
      <c r="AB73"/>
      <c r="AC73"/>
      <c r="AD73" s="144"/>
      <c r="AF73" s="87"/>
    </row>
    <row r="74" spans="1:32" ht="13.2" x14ac:dyDescent="0.25">
      <c r="A74" s="40">
        <v>59920</v>
      </c>
      <c r="B74" s="110" t="s">
        <v>135</v>
      </c>
      <c r="C74" s="94">
        <v>37651.61</v>
      </c>
      <c r="D74" s="87"/>
      <c r="E74" s="87">
        <f t="shared" si="4"/>
        <v>37651.61</v>
      </c>
      <c r="G74" s="16">
        <f t="shared" si="15"/>
        <v>33905.659005102039</v>
      </c>
      <c r="H74" s="98">
        <f t="shared" si="16"/>
        <v>3745.9509948979594</v>
      </c>
      <c r="I74" s="85"/>
      <c r="J74" s="144">
        <v>56151.61</v>
      </c>
      <c r="K74" s="87"/>
      <c r="L74" s="87"/>
      <c r="M74" s="87">
        <f t="shared" si="13"/>
        <v>56151.61</v>
      </c>
      <c r="O74" s="16">
        <f t="shared" si="17"/>
        <v>50565.097780612246</v>
      </c>
      <c r="P74" s="206">
        <f t="shared" si="18"/>
        <v>5586.5122193877551</v>
      </c>
      <c r="R74" s="139">
        <f t="shared" si="14"/>
        <v>1840.5612244897957</v>
      </c>
      <c r="Y74"/>
      <c r="Z74" s="144"/>
      <c r="AB74"/>
      <c r="AC74"/>
      <c r="AD74" s="144"/>
      <c r="AF74" s="87"/>
    </row>
    <row r="75" spans="1:32" ht="13.2" x14ac:dyDescent="0.25">
      <c r="A75" s="40">
        <v>59921</v>
      </c>
      <c r="B75" s="110" t="s">
        <v>136</v>
      </c>
      <c r="C75" s="94">
        <v>-37651.61</v>
      </c>
      <c r="D75" s="87"/>
      <c r="E75" s="87">
        <f t="shared" si="4"/>
        <v>-37651.61</v>
      </c>
      <c r="G75" s="16">
        <f t="shared" si="15"/>
        <v>-33905.659005102039</v>
      </c>
      <c r="H75" s="98">
        <f t="shared" si="16"/>
        <v>-3745.9509948979594</v>
      </c>
      <c r="I75" s="85"/>
      <c r="J75" s="144">
        <v>-56151.61</v>
      </c>
      <c r="K75" s="87"/>
      <c r="L75" s="87"/>
      <c r="M75" s="87">
        <f t="shared" si="13"/>
        <v>-56151.61</v>
      </c>
      <c r="O75" s="16">
        <f t="shared" si="17"/>
        <v>-50565.097780612246</v>
      </c>
      <c r="P75" s="206">
        <f t="shared" si="18"/>
        <v>-5586.5122193877551</v>
      </c>
      <c r="R75" s="139">
        <f t="shared" si="14"/>
        <v>-1840.5612244897957</v>
      </c>
      <c r="Y75"/>
      <c r="Z75" s="144"/>
      <c r="AB75"/>
      <c r="AC75"/>
      <c r="AD75" s="144"/>
      <c r="AF75" s="87"/>
    </row>
    <row r="76" spans="1:32" ht="13.2" x14ac:dyDescent="0.25">
      <c r="A76" s="40">
        <v>59924</v>
      </c>
      <c r="B76" s="110" t="s">
        <v>246</v>
      </c>
      <c r="C76" s="94"/>
      <c r="D76" s="87"/>
      <c r="E76" s="87"/>
      <c r="G76" s="16"/>
      <c r="H76" s="98"/>
      <c r="I76" s="85"/>
      <c r="J76" s="144">
        <v>68500</v>
      </c>
      <c r="K76" s="87"/>
      <c r="L76" s="87"/>
      <c r="M76" s="87">
        <f t="shared" si="13"/>
        <v>68500</v>
      </c>
      <c r="O76" s="16">
        <f t="shared" si="17"/>
        <v>61684.948979591834</v>
      </c>
      <c r="P76" s="206">
        <f t="shared" si="18"/>
        <v>6815.0510204081629</v>
      </c>
      <c r="R76" s="139">
        <f t="shared" si="14"/>
        <v>6815.0510204081629</v>
      </c>
      <c r="Y76"/>
      <c r="Z76" s="144"/>
      <c r="AB76"/>
      <c r="AC76"/>
      <c r="AD76" s="144"/>
      <c r="AF76" s="87"/>
    </row>
    <row r="77" spans="1:32" ht="13.2" x14ac:dyDescent="0.25">
      <c r="A77" s="40">
        <v>59941</v>
      </c>
      <c r="B77" s="110" t="s">
        <v>137</v>
      </c>
      <c r="C77" s="94">
        <v>217419.02</v>
      </c>
      <c r="D77" s="87"/>
      <c r="E77" s="87">
        <f t="shared" si="4"/>
        <v>217419.02</v>
      </c>
      <c r="G77" s="16">
        <f t="shared" si="15"/>
        <v>195788.04607142854</v>
      </c>
      <c r="H77" s="98">
        <f t="shared" si="16"/>
        <v>21630.973928571428</v>
      </c>
      <c r="I77" s="85"/>
      <c r="J77" s="144">
        <v>324801.42</v>
      </c>
      <c r="K77" s="87"/>
      <c r="L77" s="87"/>
      <c r="M77" s="87">
        <f>+J77-K77-L77</f>
        <v>324801.42</v>
      </c>
      <c r="O77" s="16">
        <f t="shared" si="17"/>
        <v>292486.99301020405</v>
      </c>
      <c r="P77" s="206">
        <f>+M77*$H$3</f>
        <v>32314.426989795917</v>
      </c>
      <c r="R77" s="139">
        <f t="shared" si="14"/>
        <v>10683.453061224489</v>
      </c>
      <c r="X77" s="43"/>
      <c r="Y77"/>
      <c r="Z77" s="144"/>
      <c r="AB77"/>
      <c r="AC77"/>
      <c r="AD77" s="144"/>
      <c r="AF77" s="87"/>
    </row>
    <row r="78" spans="1:32" x14ac:dyDescent="0.2">
      <c r="A78" s="20"/>
      <c r="B78" s="110"/>
      <c r="C78" s="94"/>
      <c r="D78" s="87"/>
      <c r="E78" s="87"/>
      <c r="G78" s="16"/>
      <c r="H78" s="22"/>
      <c r="I78" s="85"/>
      <c r="J78" s="12"/>
      <c r="K78" s="87"/>
      <c r="L78" s="87"/>
      <c r="M78" s="87"/>
      <c r="O78" s="16"/>
      <c r="P78" s="22"/>
      <c r="R78" s="20"/>
      <c r="AF78" s="87"/>
    </row>
    <row r="79" spans="1:32" ht="13.2" x14ac:dyDescent="0.25">
      <c r="A79" s="40">
        <v>60303</v>
      </c>
      <c r="B79" s="110" t="s">
        <v>138</v>
      </c>
      <c r="C79" s="94">
        <v>125747.63</v>
      </c>
      <c r="D79" s="87"/>
      <c r="E79" s="87">
        <f t="shared" si="4"/>
        <v>125747.63</v>
      </c>
      <c r="G79" s="16">
        <f>+E79</f>
        <v>125747.63</v>
      </c>
      <c r="H79" s="98"/>
      <c r="I79" s="85"/>
      <c r="J79" s="144">
        <v>188621.45</v>
      </c>
      <c r="K79" s="87"/>
      <c r="L79" s="87"/>
      <c r="M79" s="87">
        <f>+J79-K79-L79</f>
        <v>188621.45</v>
      </c>
      <c r="O79" s="16">
        <f>+M79</f>
        <v>188621.45</v>
      </c>
      <c r="P79" s="180"/>
      <c r="R79" s="139">
        <f>+P79-H79</f>
        <v>0</v>
      </c>
      <c r="X79"/>
      <c r="Y79"/>
      <c r="Z79" s="144"/>
      <c r="AB79"/>
      <c r="AC79"/>
      <c r="AD79" s="144"/>
      <c r="AF79" s="87"/>
    </row>
    <row r="80" spans="1:32" ht="13.2" x14ac:dyDescent="0.25">
      <c r="A80" s="40">
        <v>60320</v>
      </c>
      <c r="B80" s="110" t="s">
        <v>139</v>
      </c>
      <c r="C80" s="94">
        <v>112051.86</v>
      </c>
      <c r="D80" s="87"/>
      <c r="E80" s="87">
        <f t="shared" si="4"/>
        <v>112051.86</v>
      </c>
      <c r="G80" s="16">
        <f>+E80*G3</f>
        <v>100903.84331632653</v>
      </c>
      <c r="H80" s="98">
        <f>+G80*H3</f>
        <v>10038.902778920241</v>
      </c>
      <c r="I80" s="85"/>
      <c r="J80" s="144">
        <v>171409.41</v>
      </c>
      <c r="K80" s="87"/>
      <c r="L80" s="87"/>
      <c r="M80" s="87">
        <f>+J80-K80-L80</f>
        <v>171409.41</v>
      </c>
      <c r="O80" s="16">
        <f>+M80*$G$3</f>
        <v>154355.92278061225</v>
      </c>
      <c r="P80" s="211">
        <f>+M80*$H$3</f>
        <v>17053.487219387756</v>
      </c>
      <c r="R80" s="139">
        <f>+P80-H80</f>
        <v>7014.5844404675154</v>
      </c>
      <c r="X80"/>
      <c r="Y80"/>
      <c r="Z80" s="144"/>
      <c r="AB80"/>
      <c r="AC80"/>
      <c r="AD80" s="144"/>
      <c r="AF80" s="87"/>
    </row>
    <row r="81" spans="1:32" ht="13.2" x14ac:dyDescent="0.25">
      <c r="A81" s="40">
        <v>60323</v>
      </c>
      <c r="B81" s="110" t="s">
        <v>140</v>
      </c>
      <c r="C81" s="94">
        <v>53796.52</v>
      </c>
      <c r="D81" s="87"/>
      <c r="E81" s="87">
        <f t="shared" si="4"/>
        <v>53796.52</v>
      </c>
      <c r="G81" s="16">
        <f>+E81</f>
        <v>53796.52</v>
      </c>
      <c r="H81" s="98"/>
      <c r="I81" s="85"/>
      <c r="J81" s="144">
        <v>80694.78</v>
      </c>
      <c r="K81" s="87"/>
      <c r="L81" s="87"/>
      <c r="M81" s="87">
        <f>+J81-K81-L81</f>
        <v>80694.78</v>
      </c>
      <c r="O81" s="16">
        <f>+M81</f>
        <v>80694.78</v>
      </c>
      <c r="P81" s="180"/>
      <c r="R81" s="139">
        <f>+P81-H81</f>
        <v>0</v>
      </c>
      <c r="X81"/>
      <c r="Y81"/>
      <c r="Z81" s="144"/>
      <c r="AB81"/>
      <c r="AC81"/>
      <c r="AD81" s="144"/>
      <c r="AF81" s="87"/>
    </row>
    <row r="82" spans="1:32" ht="13.2" x14ac:dyDescent="0.25">
      <c r="A82" s="40">
        <v>60324</v>
      </c>
      <c r="B82" s="110" t="s">
        <v>141</v>
      </c>
      <c r="C82" s="94">
        <v>103786.66</v>
      </c>
      <c r="D82" s="87"/>
      <c r="E82" s="87">
        <f t="shared" si="4"/>
        <v>103786.66</v>
      </c>
      <c r="G82" s="16">
        <f>+E82</f>
        <v>103786.66</v>
      </c>
      <c r="H82" s="98"/>
      <c r="I82" s="85"/>
      <c r="J82" s="144">
        <v>158699.82</v>
      </c>
      <c r="K82" s="87"/>
      <c r="L82" s="87"/>
      <c r="M82" s="87">
        <f>+J82-K82-L82</f>
        <v>158699.82</v>
      </c>
      <c r="O82" s="16">
        <f>+M82</f>
        <v>158699.82</v>
      </c>
      <c r="P82" s="180"/>
      <c r="R82" s="139">
        <f>+P82-H82</f>
        <v>0</v>
      </c>
      <c r="X82"/>
      <c r="Y82"/>
      <c r="Z82" s="144"/>
      <c r="AB82"/>
      <c r="AC82"/>
      <c r="AD82" s="144"/>
      <c r="AF82" s="87"/>
    </row>
    <row r="83" spans="1:32" ht="13.2" x14ac:dyDescent="0.25">
      <c r="A83" s="40">
        <v>60325</v>
      </c>
      <c r="B83" s="110" t="s">
        <v>142</v>
      </c>
      <c r="C83" s="94">
        <v>72943.64</v>
      </c>
      <c r="D83" s="87"/>
      <c r="E83" s="87">
        <f t="shared" si="4"/>
        <v>72943.64</v>
      </c>
      <c r="G83" s="16">
        <f>+E83</f>
        <v>72943.64</v>
      </c>
      <c r="H83" s="98"/>
      <c r="I83" s="85"/>
      <c r="J83" s="144">
        <v>109165.46</v>
      </c>
      <c r="K83" s="87"/>
      <c r="L83" s="87"/>
      <c r="M83" s="87">
        <f>+J83-K83-L83</f>
        <v>109165.46</v>
      </c>
      <c r="O83" s="16">
        <f>+M83</f>
        <v>109165.46</v>
      </c>
      <c r="P83" s="180"/>
      <c r="R83" s="139">
        <f>+P83-H83</f>
        <v>0</v>
      </c>
      <c r="X83"/>
      <c r="Y83"/>
      <c r="Z83" s="144"/>
      <c r="AB83"/>
      <c r="AC83"/>
      <c r="AD83" s="144"/>
      <c r="AF83" s="87"/>
    </row>
    <row r="84" spans="1:32" x14ac:dyDescent="0.2">
      <c r="A84" s="20"/>
      <c r="B84" s="111"/>
      <c r="C84" s="94"/>
      <c r="D84" s="94"/>
      <c r="E84" s="94"/>
      <c r="F84" s="20"/>
      <c r="G84" s="22"/>
      <c r="H84" s="22"/>
      <c r="I84" s="85"/>
      <c r="J84" s="12"/>
      <c r="K84" s="94"/>
      <c r="L84" s="94"/>
      <c r="M84" s="94"/>
      <c r="N84" s="20"/>
      <c r="O84" s="22"/>
      <c r="P84" s="22"/>
      <c r="R84" s="20"/>
      <c r="AF84" s="87"/>
    </row>
    <row r="85" spans="1:32" s="15" customFormat="1" ht="13.2" x14ac:dyDescent="0.25">
      <c r="A85" s="40">
        <v>62101</v>
      </c>
      <c r="B85" s="110" t="s">
        <v>143</v>
      </c>
      <c r="C85" s="121">
        <v>1124172.95</v>
      </c>
      <c r="D85" s="118">
        <f>135625+57045.61+88120.7+15000+4136-19987.36</f>
        <v>279939.95</v>
      </c>
      <c r="E85" s="118">
        <f t="shared" si="4"/>
        <v>844233</v>
      </c>
      <c r="G85" s="119">
        <f>+E85*$G$3+D85</f>
        <v>1040180.3811224489</v>
      </c>
      <c r="H85" s="98">
        <f>+E85*$H$3</f>
        <v>83992.568877551021</v>
      </c>
      <c r="I85" s="122"/>
      <c r="J85" s="144">
        <v>1451555.58</v>
      </c>
      <c r="K85" s="87">
        <f>1451555-1016000-233</f>
        <v>435322</v>
      </c>
      <c r="L85" s="118"/>
      <c r="M85" s="87">
        <f t="shared" ref="M85:M90" si="20">+J85-K85-L85</f>
        <v>1016233.5800000001</v>
      </c>
      <c r="O85" s="145">
        <f t="shared" ref="O85:O90" si="21">+M85*$G$3+K85</f>
        <v>1350450.7085204083</v>
      </c>
      <c r="P85" s="217">
        <f t="shared" ref="P85:P90" si="22">+M85*$H$3</f>
        <v>101104.87147959185</v>
      </c>
      <c r="Q85" s="137"/>
      <c r="R85" s="139">
        <f t="shared" ref="R85:R90" si="23">+P85-H85</f>
        <v>17112.302602040829</v>
      </c>
      <c r="X85"/>
      <c r="Y85"/>
      <c r="Z85" s="144"/>
      <c r="AB85"/>
      <c r="AC85"/>
      <c r="AD85" s="144"/>
      <c r="AE85" s="12"/>
      <c r="AF85" s="87"/>
    </row>
    <row r="86" spans="1:32" ht="13.2" x14ac:dyDescent="0.25">
      <c r="A86" s="40">
        <v>62190</v>
      </c>
      <c r="B86" s="110" t="s">
        <v>144</v>
      </c>
      <c r="C86" s="94">
        <v>78853.19</v>
      </c>
      <c r="D86" s="87"/>
      <c r="E86" s="87">
        <f t="shared" ref="E86:E164" si="24">+C86-D86</f>
        <v>78853.19</v>
      </c>
      <c r="G86" s="16">
        <f t="shared" ref="G86:G153" si="25">+E86*$G$3</f>
        <v>71008.102219387758</v>
      </c>
      <c r="H86" s="98">
        <f t="shared" ref="H86:H153" si="26">+E86*$H$3</f>
        <v>7845.0877806122453</v>
      </c>
      <c r="I86" s="122"/>
      <c r="J86" s="144">
        <v>18678.79</v>
      </c>
      <c r="K86" s="87"/>
      <c r="L86" s="87"/>
      <c r="M86" s="87">
        <f t="shared" si="20"/>
        <v>18678.79</v>
      </c>
      <c r="O86" s="145">
        <f t="shared" si="21"/>
        <v>16820.440994897959</v>
      </c>
      <c r="P86" s="217">
        <f t="shared" si="22"/>
        <v>1858.3490051020408</v>
      </c>
      <c r="R86" s="139">
        <f t="shared" si="23"/>
        <v>-5986.7387755102045</v>
      </c>
      <c r="X86"/>
      <c r="Y86"/>
      <c r="Z86" s="144"/>
      <c r="AB86"/>
      <c r="AC86"/>
      <c r="AD86" s="144"/>
      <c r="AF86" s="87"/>
    </row>
    <row r="87" spans="1:32" ht="13.2" x14ac:dyDescent="0.25">
      <c r="A87" s="40">
        <v>62201</v>
      </c>
      <c r="B87" s="110" t="s">
        <v>145</v>
      </c>
      <c r="C87" s="94">
        <v>187793.45</v>
      </c>
      <c r="D87" s="87"/>
      <c r="E87" s="87">
        <f t="shared" si="24"/>
        <v>187793.45</v>
      </c>
      <c r="G87" s="16">
        <f t="shared" si="25"/>
        <v>169109.91798469389</v>
      </c>
      <c r="H87" s="98">
        <f t="shared" si="26"/>
        <v>18683.532015306122</v>
      </c>
      <c r="I87" s="122"/>
      <c r="J87" s="144">
        <v>443926.25</v>
      </c>
      <c r="K87" s="87"/>
      <c r="L87" s="87"/>
      <c r="M87" s="87">
        <f t="shared" si="20"/>
        <v>443926.25</v>
      </c>
      <c r="O87" s="145">
        <f t="shared" si="21"/>
        <v>399760.11798469385</v>
      </c>
      <c r="P87" s="217">
        <f t="shared" si="22"/>
        <v>44166.132015306124</v>
      </c>
      <c r="R87" s="139">
        <f t="shared" si="23"/>
        <v>25482.600000000002</v>
      </c>
      <c r="X87"/>
      <c r="Y87"/>
      <c r="Z87" s="144"/>
      <c r="AB87"/>
      <c r="AC87"/>
      <c r="AD87" s="144"/>
      <c r="AF87" s="87"/>
    </row>
    <row r="88" spans="1:32" ht="13.2" x14ac:dyDescent="0.25">
      <c r="A88" s="40">
        <v>62501</v>
      </c>
      <c r="B88" s="110" t="s">
        <v>146</v>
      </c>
      <c r="C88" s="94">
        <v>5090.0200000000004</v>
      </c>
      <c r="D88" s="87"/>
      <c r="E88" s="87">
        <f t="shared" si="24"/>
        <v>5090.0200000000004</v>
      </c>
      <c r="G88" s="16">
        <f t="shared" si="25"/>
        <v>4583.6149489795916</v>
      </c>
      <c r="H88" s="98">
        <f t="shared" si="26"/>
        <v>506.40505102040822</v>
      </c>
      <c r="I88" s="122"/>
      <c r="J88" s="144">
        <v>410271.96</v>
      </c>
      <c r="K88" s="87"/>
      <c r="L88" s="87"/>
      <c r="M88" s="87">
        <f t="shared" si="20"/>
        <v>410271.96</v>
      </c>
      <c r="O88" s="145">
        <f t="shared" si="21"/>
        <v>369454.08642857143</v>
      </c>
      <c r="P88" s="217">
        <f t="shared" si="22"/>
        <v>40817.873571428572</v>
      </c>
      <c r="R88" s="139">
        <f t="shared" si="23"/>
        <v>40311.468520408162</v>
      </c>
      <c r="X88"/>
      <c r="Y88"/>
      <c r="Z88" s="144"/>
      <c r="AB88"/>
      <c r="AC88"/>
      <c r="AD88" s="144"/>
      <c r="AF88" s="87"/>
    </row>
    <row r="89" spans="1:32" ht="13.2" x14ac:dyDescent="0.25">
      <c r="A89" s="40">
        <v>62701</v>
      </c>
      <c r="B89" s="110" t="s">
        <v>147</v>
      </c>
      <c r="C89" s="94">
        <v>94</v>
      </c>
      <c r="D89" s="87"/>
      <c r="E89" s="87">
        <f t="shared" si="24"/>
        <v>94</v>
      </c>
      <c r="G89" s="16">
        <f t="shared" si="25"/>
        <v>84.647959183673464</v>
      </c>
      <c r="H89" s="98">
        <f t="shared" si="26"/>
        <v>9.3520408163265305</v>
      </c>
      <c r="I89" s="122"/>
      <c r="J89">
        <v>94</v>
      </c>
      <c r="K89" s="87"/>
      <c r="L89" s="87"/>
      <c r="M89" s="87">
        <f t="shared" si="20"/>
        <v>94</v>
      </c>
      <c r="O89" s="145">
        <f t="shared" si="21"/>
        <v>84.647959183673464</v>
      </c>
      <c r="P89" s="217">
        <f t="shared" si="22"/>
        <v>9.3520408163265305</v>
      </c>
      <c r="R89" s="139">
        <f t="shared" si="23"/>
        <v>0</v>
      </c>
      <c r="X89"/>
      <c r="Y89"/>
      <c r="Z89"/>
      <c r="AB89"/>
      <c r="AC89"/>
      <c r="AD89"/>
      <c r="AF89" s="87"/>
    </row>
    <row r="90" spans="1:32" ht="13.2" x14ac:dyDescent="0.25">
      <c r="A90" s="40">
        <v>62703</v>
      </c>
      <c r="B90" s="110" t="s">
        <v>247</v>
      </c>
      <c r="C90" s="94"/>
      <c r="D90" s="87"/>
      <c r="E90" s="87"/>
      <c r="G90" s="16"/>
      <c r="H90" s="98"/>
      <c r="I90" s="122"/>
      <c r="J90" s="144">
        <v>178365.34</v>
      </c>
      <c r="K90" s="87"/>
      <c r="L90" s="87"/>
      <c r="M90" s="87">
        <f t="shared" si="20"/>
        <v>178365.34</v>
      </c>
      <c r="O90" s="145">
        <f t="shared" si="21"/>
        <v>160619.80872448979</v>
      </c>
      <c r="P90" s="217">
        <f t="shared" si="22"/>
        <v>17745.531275510202</v>
      </c>
      <c r="R90" s="139">
        <f t="shared" si="23"/>
        <v>17745.531275510202</v>
      </c>
      <c r="X90"/>
      <c r="Y90"/>
      <c r="Z90" s="144"/>
      <c r="AB90"/>
      <c r="AC90"/>
      <c r="AD90" s="144"/>
      <c r="AF90" s="87"/>
    </row>
    <row r="91" spans="1:32" x14ac:dyDescent="0.2">
      <c r="A91" s="20"/>
      <c r="B91" s="111"/>
      <c r="C91" s="94"/>
      <c r="D91" s="94"/>
      <c r="E91" s="94"/>
      <c r="F91" s="20"/>
      <c r="G91" s="22"/>
      <c r="H91" s="22"/>
      <c r="I91" s="122"/>
      <c r="J91" s="12"/>
      <c r="K91" s="94"/>
      <c r="L91" s="94"/>
      <c r="M91" s="94"/>
      <c r="N91" s="20"/>
      <c r="O91" s="22"/>
      <c r="P91" s="22"/>
      <c r="R91" s="20"/>
      <c r="AF91" s="87"/>
    </row>
    <row r="92" spans="1:32" ht="13.2" x14ac:dyDescent="0.25">
      <c r="A92" s="40">
        <v>63302</v>
      </c>
      <c r="B92" s="110" t="s">
        <v>148</v>
      </c>
      <c r="C92" s="94">
        <v>919.56</v>
      </c>
      <c r="D92" s="87"/>
      <c r="E92" s="87">
        <f t="shared" si="24"/>
        <v>919.56</v>
      </c>
      <c r="G92" s="16">
        <f t="shared" si="25"/>
        <v>828.07316326530599</v>
      </c>
      <c r="H92" s="98">
        <f t="shared" si="26"/>
        <v>91.486836734693867</v>
      </c>
      <c r="I92" s="122"/>
      <c r="J92">
        <v>919.56</v>
      </c>
      <c r="K92" s="87"/>
      <c r="L92" s="87"/>
      <c r="M92" s="87">
        <f t="shared" ref="M92:M155" si="27">+J92-K92-L92</f>
        <v>919.56</v>
      </c>
      <c r="O92" s="145">
        <f>+M92*$G$3+K92</f>
        <v>828.07316326530599</v>
      </c>
      <c r="P92" s="204">
        <f t="shared" ref="P92:P98" si="28">+M92*$H$3</f>
        <v>91.486836734693867</v>
      </c>
      <c r="R92" s="139">
        <f t="shared" ref="R92:R123" si="29">+P92-H92</f>
        <v>0</v>
      </c>
      <c r="X92"/>
      <c r="Y92"/>
      <c r="Z92"/>
      <c r="AB92"/>
      <c r="AC92"/>
      <c r="AD92"/>
      <c r="AF92" s="87"/>
    </row>
    <row r="93" spans="1:32" ht="13.2" x14ac:dyDescent="0.25">
      <c r="A93" s="40">
        <v>63303</v>
      </c>
      <c r="B93" s="110" t="s">
        <v>149</v>
      </c>
      <c r="C93" s="94">
        <v>14816</v>
      </c>
      <c r="D93" s="87"/>
      <c r="E93" s="87">
        <f t="shared" si="24"/>
        <v>14816</v>
      </c>
      <c r="G93" s="16">
        <f t="shared" si="25"/>
        <v>13341.959183673469</v>
      </c>
      <c r="H93" s="98">
        <f t="shared" si="26"/>
        <v>1474.0408163265306</v>
      </c>
      <c r="I93" s="85"/>
      <c r="J93" s="144">
        <v>14816</v>
      </c>
      <c r="K93" s="87"/>
      <c r="L93" s="87"/>
      <c r="M93" s="87">
        <f t="shared" si="27"/>
        <v>14816</v>
      </c>
      <c r="O93" s="145">
        <f t="shared" ref="O93:O98" si="30">+M93*$G$3+K93</f>
        <v>13341.959183673469</v>
      </c>
      <c r="P93" s="204">
        <f t="shared" si="28"/>
        <v>1474.0408163265306</v>
      </c>
      <c r="R93" s="139">
        <f t="shared" si="29"/>
        <v>0</v>
      </c>
      <c r="X93"/>
      <c r="Y93"/>
      <c r="Z93" s="144"/>
      <c r="AB93"/>
      <c r="AC93"/>
      <c r="AD93" s="144"/>
      <c r="AF93" s="87"/>
    </row>
    <row r="94" spans="1:32" ht="13.2" x14ac:dyDescent="0.25">
      <c r="A94" s="40">
        <v>64101</v>
      </c>
      <c r="B94" s="110" t="s">
        <v>150</v>
      </c>
      <c r="C94" s="94">
        <v>41585.46</v>
      </c>
      <c r="D94" s="87"/>
      <c r="E94" s="87">
        <f t="shared" si="24"/>
        <v>41585.46</v>
      </c>
      <c r="G94" s="16">
        <f t="shared" si="25"/>
        <v>37448.131071428572</v>
      </c>
      <c r="H94" s="98">
        <f t="shared" si="26"/>
        <v>4137.3289285714282</v>
      </c>
      <c r="I94" s="85"/>
      <c r="J94" s="144">
        <v>98006.63</v>
      </c>
      <c r="K94" s="87"/>
      <c r="L94" s="87"/>
      <c r="M94" s="87">
        <f t="shared" si="27"/>
        <v>98006.63</v>
      </c>
      <c r="O94" s="145">
        <f t="shared" si="30"/>
        <v>88255.97038265306</v>
      </c>
      <c r="P94" s="204">
        <f t="shared" si="28"/>
        <v>9750.6596173469388</v>
      </c>
      <c r="R94" s="139">
        <f t="shared" si="29"/>
        <v>5613.3306887755107</v>
      </c>
      <c r="X94"/>
      <c r="Y94"/>
      <c r="Z94" s="144"/>
      <c r="AB94"/>
      <c r="AC94"/>
      <c r="AD94" s="144"/>
      <c r="AF94" s="87"/>
    </row>
    <row r="95" spans="1:32" ht="13.2" x14ac:dyDescent="0.25">
      <c r="A95" s="40">
        <v>64201</v>
      </c>
      <c r="B95" s="110" t="s">
        <v>151</v>
      </c>
      <c r="C95" s="94">
        <v>40820.1</v>
      </c>
      <c r="D95" s="87"/>
      <c r="E95" s="87">
        <f t="shared" si="24"/>
        <v>40820.1</v>
      </c>
      <c r="G95" s="16">
        <f t="shared" si="25"/>
        <v>36758.916581632649</v>
      </c>
      <c r="H95" s="98">
        <f t="shared" si="26"/>
        <v>4061.1834183673468</v>
      </c>
      <c r="I95" s="85"/>
      <c r="J95" s="144">
        <v>59396.44</v>
      </c>
      <c r="K95" s="87"/>
      <c r="L95" s="87"/>
      <c r="M95" s="87">
        <f t="shared" si="27"/>
        <v>59396.44</v>
      </c>
      <c r="O95" s="145">
        <f t="shared" si="30"/>
        <v>53487.100306122447</v>
      </c>
      <c r="P95" s="204">
        <f t="shared" si="28"/>
        <v>5909.3396938775513</v>
      </c>
      <c r="R95" s="139">
        <f t="shared" si="29"/>
        <v>1848.1562755102045</v>
      </c>
      <c r="X95"/>
      <c r="Y95"/>
      <c r="Z95" s="144"/>
      <c r="AB95"/>
      <c r="AC95"/>
      <c r="AD95" s="144"/>
      <c r="AF95" s="87"/>
    </row>
    <row r="96" spans="1:32" ht="13.2" x14ac:dyDescent="0.25">
      <c r="A96" s="40">
        <v>64515</v>
      </c>
      <c r="B96" s="110" t="s">
        <v>152</v>
      </c>
      <c r="C96" s="112">
        <v>38793.800000000003</v>
      </c>
      <c r="D96" s="87"/>
      <c r="E96" s="87">
        <f t="shared" si="24"/>
        <v>38793.800000000003</v>
      </c>
      <c r="G96" s="16">
        <f t="shared" si="25"/>
        <v>34934.212755102046</v>
      </c>
      <c r="H96" s="98">
        <f t="shared" si="26"/>
        <v>3859.5872448979594</v>
      </c>
      <c r="I96" s="85"/>
      <c r="J96" s="144">
        <v>114972.2</v>
      </c>
      <c r="K96" s="87"/>
      <c r="L96" s="87"/>
      <c r="M96" s="87">
        <f t="shared" si="27"/>
        <v>114972.2</v>
      </c>
      <c r="O96" s="145">
        <f t="shared" si="30"/>
        <v>103533.63928571428</v>
      </c>
      <c r="P96" s="204">
        <f t="shared" si="28"/>
        <v>11438.560714285713</v>
      </c>
      <c r="R96" s="139">
        <f t="shared" si="29"/>
        <v>7578.9734693877544</v>
      </c>
      <c r="X96"/>
      <c r="Y96"/>
      <c r="Z96" s="144"/>
      <c r="AB96"/>
      <c r="AC96"/>
      <c r="AD96" s="144"/>
      <c r="AF96" s="87"/>
    </row>
    <row r="97" spans="1:32" ht="13.2" x14ac:dyDescent="0.25">
      <c r="A97" s="40">
        <v>64701</v>
      </c>
      <c r="B97" s="110" t="s">
        <v>153</v>
      </c>
      <c r="C97" s="94">
        <v>-9975</v>
      </c>
      <c r="D97" s="87"/>
      <c r="E97" s="87">
        <f t="shared" si="24"/>
        <v>-9975</v>
      </c>
      <c r="G97" s="16">
        <f t="shared" si="25"/>
        <v>-8982.5892857142862</v>
      </c>
      <c r="H97" s="98">
        <f t="shared" si="26"/>
        <v>-992.41071428571433</v>
      </c>
      <c r="I97" s="85"/>
      <c r="J97" s="144">
        <v>360183.4</v>
      </c>
      <c r="K97" s="87"/>
      <c r="L97" s="87"/>
      <c r="M97" s="87">
        <f t="shared" si="27"/>
        <v>360183.4</v>
      </c>
      <c r="O97" s="145">
        <f t="shared" si="30"/>
        <v>324348.82704081637</v>
      </c>
      <c r="P97" s="204">
        <f t="shared" si="28"/>
        <v>35834.572959183679</v>
      </c>
      <c r="R97" s="139">
        <f t="shared" si="29"/>
        <v>36826.983673469396</v>
      </c>
      <c r="X97"/>
      <c r="Y97"/>
      <c r="Z97" s="144"/>
      <c r="AB97"/>
      <c r="AC97"/>
      <c r="AD97" s="144"/>
      <c r="AF97" s="87"/>
    </row>
    <row r="98" spans="1:32" ht="13.2" x14ac:dyDescent="0.25">
      <c r="A98" s="40">
        <v>64705</v>
      </c>
      <c r="B98" s="110" t="s">
        <v>154</v>
      </c>
      <c r="C98" s="94">
        <v>32168.58</v>
      </c>
      <c r="D98" s="87"/>
      <c r="E98" s="87">
        <f t="shared" si="24"/>
        <v>32168.58</v>
      </c>
      <c r="G98" s="16">
        <f t="shared" si="25"/>
        <v>28968.134540816329</v>
      </c>
      <c r="H98" s="98">
        <f t="shared" si="26"/>
        <v>3200.4454591836738</v>
      </c>
      <c r="I98" s="85"/>
      <c r="J98" s="144">
        <v>38055.78</v>
      </c>
      <c r="K98" s="87"/>
      <c r="L98" s="87"/>
      <c r="M98" s="87">
        <f t="shared" si="27"/>
        <v>38055.78</v>
      </c>
      <c r="O98" s="145">
        <f t="shared" si="30"/>
        <v>34269.618214285714</v>
      </c>
      <c r="P98" s="204">
        <f t="shared" si="28"/>
        <v>3786.1617857142855</v>
      </c>
      <c r="R98" s="139">
        <f t="shared" si="29"/>
        <v>585.7163265306117</v>
      </c>
      <c r="X98"/>
      <c r="Y98"/>
      <c r="Z98" s="144"/>
      <c r="AB98"/>
      <c r="AC98"/>
      <c r="AD98" s="144"/>
      <c r="AF98" s="87"/>
    </row>
    <row r="99" spans="1:32" ht="13.2" x14ac:dyDescent="0.25">
      <c r="A99" s="40">
        <v>64801</v>
      </c>
      <c r="B99" s="110" t="s">
        <v>155</v>
      </c>
      <c r="C99" s="94">
        <v>14800</v>
      </c>
      <c r="D99" s="87"/>
      <c r="E99" s="87">
        <f t="shared" si="24"/>
        <v>14800</v>
      </c>
      <c r="G99" s="16">
        <f>+E99</f>
        <v>14800</v>
      </c>
      <c r="H99" s="98"/>
      <c r="I99" s="85"/>
      <c r="J99" s="144">
        <v>23456</v>
      </c>
      <c r="K99" s="87"/>
      <c r="L99" s="87"/>
      <c r="M99" s="87">
        <f t="shared" si="27"/>
        <v>23456</v>
      </c>
      <c r="O99" s="16">
        <f>+M99</f>
        <v>23456</v>
      </c>
      <c r="P99" s="204"/>
      <c r="R99" s="139">
        <f t="shared" si="29"/>
        <v>0</v>
      </c>
      <c r="X99"/>
      <c r="Y99"/>
      <c r="Z99" s="144"/>
      <c r="AB99"/>
      <c r="AC99"/>
      <c r="AD99" s="144"/>
      <c r="AF99" s="87"/>
    </row>
    <row r="100" spans="1:32" ht="13.2" x14ac:dyDescent="0.25">
      <c r="A100" s="40">
        <v>66101</v>
      </c>
      <c r="B100" s="110" t="s">
        <v>156</v>
      </c>
      <c r="C100" s="94">
        <v>13300</v>
      </c>
      <c r="D100" s="87"/>
      <c r="E100" s="87">
        <f t="shared" si="24"/>
        <v>13300</v>
      </c>
      <c r="G100" s="16">
        <f t="shared" si="25"/>
        <v>11976.785714285714</v>
      </c>
      <c r="H100" s="98">
        <f t="shared" si="26"/>
        <v>1323.2142857142858</v>
      </c>
      <c r="I100" s="85"/>
      <c r="J100" s="144">
        <v>14800</v>
      </c>
      <c r="K100" s="87"/>
      <c r="L100" s="87"/>
      <c r="M100" s="87">
        <f t="shared" si="27"/>
        <v>14800</v>
      </c>
      <c r="O100" s="145">
        <f t="shared" ref="O100:O108" si="31">+M100*$G$3+K100</f>
        <v>13327.551020408162</v>
      </c>
      <c r="P100" s="214">
        <f t="shared" ref="P100:P139" si="32">+M100*$H$3</f>
        <v>1472.4489795918366</v>
      </c>
      <c r="R100" s="139">
        <f t="shared" si="29"/>
        <v>149.23469387755085</v>
      </c>
      <c r="X100"/>
      <c r="Y100"/>
      <c r="Z100" s="144"/>
      <c r="AB100"/>
      <c r="AC100"/>
      <c r="AD100" s="144"/>
      <c r="AF100" s="87"/>
    </row>
    <row r="101" spans="1:32" ht="13.2" x14ac:dyDescent="0.25">
      <c r="A101" s="40">
        <v>66305</v>
      </c>
      <c r="B101" s="110" t="s">
        <v>157</v>
      </c>
      <c r="C101" s="94">
        <v>851383.16</v>
      </c>
      <c r="D101" s="87"/>
      <c r="E101" s="87">
        <f t="shared" si="24"/>
        <v>851383.16</v>
      </c>
      <c r="G101" s="16">
        <f t="shared" si="25"/>
        <v>766679.22316326527</v>
      </c>
      <c r="H101" s="98">
        <f t="shared" si="26"/>
        <v>84703.936836734691</v>
      </c>
      <c r="I101" s="85"/>
      <c r="J101" s="144">
        <v>1149793.48</v>
      </c>
      <c r="K101" s="87"/>
      <c r="L101" s="87"/>
      <c r="M101" s="87">
        <f t="shared" si="27"/>
        <v>1149793.48</v>
      </c>
      <c r="O101" s="145">
        <f t="shared" si="31"/>
        <v>1035400.7613265306</v>
      </c>
      <c r="P101" s="214">
        <f t="shared" si="32"/>
        <v>114392.71867346938</v>
      </c>
      <c r="R101" s="139">
        <f t="shared" si="29"/>
        <v>29688.781836734692</v>
      </c>
      <c r="X101"/>
      <c r="Y101"/>
      <c r="Z101" s="144"/>
      <c r="AB101"/>
      <c r="AC101"/>
      <c r="AD101" s="144"/>
      <c r="AF101" s="87"/>
    </row>
    <row r="102" spans="1:32" ht="13.2" x14ac:dyDescent="0.25">
      <c r="A102" s="40">
        <v>66401</v>
      </c>
      <c r="B102" s="110" t="s">
        <v>158</v>
      </c>
      <c r="C102" s="94">
        <v>48940</v>
      </c>
      <c r="D102" s="87"/>
      <c r="E102" s="87">
        <f t="shared" si="24"/>
        <v>48940</v>
      </c>
      <c r="G102" s="16">
        <f t="shared" si="25"/>
        <v>44070.969387755104</v>
      </c>
      <c r="H102" s="98">
        <f t="shared" si="26"/>
        <v>4869.0306122448983</v>
      </c>
      <c r="I102" s="85"/>
      <c r="J102" s="144">
        <v>72280</v>
      </c>
      <c r="K102" s="87"/>
      <c r="L102" s="87"/>
      <c r="M102" s="87">
        <f t="shared" si="27"/>
        <v>72280</v>
      </c>
      <c r="O102" s="145">
        <f t="shared" si="31"/>
        <v>65088.877551020407</v>
      </c>
      <c r="P102" s="214">
        <f t="shared" si="32"/>
        <v>7191.1224489795914</v>
      </c>
      <c r="R102" s="139">
        <f t="shared" si="29"/>
        <v>2322.0918367346931</v>
      </c>
      <c r="X102"/>
      <c r="Y102"/>
      <c r="Z102" s="144"/>
      <c r="AB102"/>
      <c r="AC102"/>
      <c r="AD102" s="144"/>
      <c r="AF102" s="87"/>
    </row>
    <row r="103" spans="1:32" ht="13.2" x14ac:dyDescent="0.25">
      <c r="A103" s="40">
        <v>66402</v>
      </c>
      <c r="B103" s="110" t="s">
        <v>159</v>
      </c>
      <c r="C103" s="94">
        <v>134767.6</v>
      </c>
      <c r="D103" s="87"/>
      <c r="E103" s="87">
        <f t="shared" si="24"/>
        <v>134767.6</v>
      </c>
      <c r="G103" s="16">
        <f t="shared" si="25"/>
        <v>121359.59897959184</v>
      </c>
      <c r="H103" s="98">
        <f t="shared" si="26"/>
        <v>13408.001020408165</v>
      </c>
      <c r="I103" s="85"/>
      <c r="J103" s="144">
        <v>404107.03</v>
      </c>
      <c r="K103" s="87"/>
      <c r="L103" s="87"/>
      <c r="M103" s="87">
        <f t="shared" si="27"/>
        <v>404107.03</v>
      </c>
      <c r="O103" s="145">
        <f t="shared" si="31"/>
        <v>363902.50405612245</v>
      </c>
      <c r="P103" s="214">
        <f t="shared" si="32"/>
        <v>40204.525943877554</v>
      </c>
      <c r="R103" s="139">
        <f t="shared" si="29"/>
        <v>26796.524923469391</v>
      </c>
      <c r="X103"/>
      <c r="Y103"/>
      <c r="Z103" s="144"/>
      <c r="AB103"/>
      <c r="AC103"/>
      <c r="AD103" s="144"/>
      <c r="AF103" s="87"/>
    </row>
    <row r="104" spans="1:32" ht="13.2" x14ac:dyDescent="0.25">
      <c r="A104" s="40">
        <v>66412</v>
      </c>
      <c r="B104" s="110" t="s">
        <v>160</v>
      </c>
      <c r="C104" s="94">
        <v>5063</v>
      </c>
      <c r="D104" s="87"/>
      <c r="E104" s="87">
        <f t="shared" si="24"/>
        <v>5063</v>
      </c>
      <c r="G104" s="16">
        <f t="shared" si="25"/>
        <v>4559.283163265306</v>
      </c>
      <c r="H104" s="98">
        <f t="shared" si="26"/>
        <v>503.71683673469386</v>
      </c>
      <c r="I104" s="85"/>
      <c r="J104" s="144">
        <v>10126</v>
      </c>
      <c r="K104" s="87"/>
      <c r="L104" s="87"/>
      <c r="M104" s="87">
        <f t="shared" si="27"/>
        <v>10126</v>
      </c>
      <c r="O104" s="145">
        <f t="shared" si="31"/>
        <v>9118.5663265306121</v>
      </c>
      <c r="P104" s="214">
        <f t="shared" si="32"/>
        <v>1007.4336734693877</v>
      </c>
      <c r="R104" s="139">
        <f t="shared" si="29"/>
        <v>503.71683673469386</v>
      </c>
      <c r="X104"/>
      <c r="Y104"/>
      <c r="Z104" s="144"/>
      <c r="AB104"/>
      <c r="AC104"/>
      <c r="AD104" s="144"/>
      <c r="AF104" s="87"/>
    </row>
    <row r="105" spans="1:32" ht="13.2" x14ac:dyDescent="0.25">
      <c r="A105" s="40">
        <v>66416</v>
      </c>
      <c r="B105" s="110" t="s">
        <v>161</v>
      </c>
      <c r="C105" s="94">
        <v>2470.6</v>
      </c>
      <c r="D105" s="87"/>
      <c r="E105" s="87">
        <f t="shared" si="24"/>
        <v>2470.6</v>
      </c>
      <c r="G105" s="16">
        <f t="shared" si="25"/>
        <v>2224.8005102040815</v>
      </c>
      <c r="H105" s="98">
        <f t="shared" si="26"/>
        <v>245.79948979591836</v>
      </c>
      <c r="I105" s="85"/>
      <c r="J105" s="144">
        <v>10947.15</v>
      </c>
      <c r="K105" s="87"/>
      <c r="L105" s="87"/>
      <c r="M105" s="87">
        <f t="shared" si="27"/>
        <v>10947.15</v>
      </c>
      <c r="O105" s="145">
        <f t="shared" si="31"/>
        <v>9858.0202806122434</v>
      </c>
      <c r="P105" s="214">
        <f t="shared" si="32"/>
        <v>1089.1297193877551</v>
      </c>
      <c r="R105" s="139">
        <f t="shared" si="29"/>
        <v>843.33022959183677</v>
      </c>
      <c r="X105"/>
      <c r="Y105"/>
      <c r="Z105" s="144"/>
      <c r="AB105"/>
      <c r="AC105"/>
      <c r="AD105" s="144"/>
      <c r="AF105" s="87"/>
    </row>
    <row r="106" spans="1:32" ht="13.2" x14ac:dyDescent="0.25">
      <c r="A106" s="40">
        <v>66465</v>
      </c>
      <c r="B106" s="110" t="s">
        <v>162</v>
      </c>
      <c r="C106" s="94">
        <v>96214.65</v>
      </c>
      <c r="D106" s="87"/>
      <c r="E106" s="87">
        <f t="shared" si="24"/>
        <v>96214.65</v>
      </c>
      <c r="G106" s="16">
        <f t="shared" si="25"/>
        <v>86642.274107142846</v>
      </c>
      <c r="H106" s="98">
        <f t="shared" si="26"/>
        <v>9572.3758928571424</v>
      </c>
      <c r="I106" s="85"/>
      <c r="J106" s="144">
        <v>312491.95</v>
      </c>
      <c r="K106" s="87"/>
      <c r="L106" s="87"/>
      <c r="M106" s="87">
        <f t="shared" si="27"/>
        <v>312491.95</v>
      </c>
      <c r="O106" s="145">
        <f t="shared" si="31"/>
        <v>281402.18966836733</v>
      </c>
      <c r="P106" s="214">
        <f t="shared" si="32"/>
        <v>31089.760331632653</v>
      </c>
      <c r="R106" s="139">
        <f t="shared" si="29"/>
        <v>21517.384438775509</v>
      </c>
      <c r="X106"/>
      <c r="Y106"/>
      <c r="Z106" s="144"/>
      <c r="AB106"/>
      <c r="AC106"/>
      <c r="AD106" s="144"/>
      <c r="AF106" s="87"/>
    </row>
    <row r="107" spans="1:32" ht="13.2" x14ac:dyDescent="0.25">
      <c r="A107" s="40">
        <v>66601</v>
      </c>
      <c r="B107" s="110" t="s">
        <v>163</v>
      </c>
      <c r="C107" s="94">
        <v>2398000</v>
      </c>
      <c r="D107" s="87"/>
      <c r="E107" s="87">
        <f t="shared" si="24"/>
        <v>2398000</v>
      </c>
      <c r="G107" s="16">
        <f t="shared" si="25"/>
        <v>2159423.4693877553</v>
      </c>
      <c r="H107" s="98">
        <f t="shared" si="26"/>
        <v>238576.53061224491</v>
      </c>
      <c r="I107" s="85"/>
      <c r="J107" s="144">
        <v>3597000</v>
      </c>
      <c r="K107" s="87"/>
      <c r="L107" s="87"/>
      <c r="M107" s="87">
        <f t="shared" si="27"/>
        <v>3597000</v>
      </c>
      <c r="O107" s="145">
        <f t="shared" si="31"/>
        <v>3239135.2040816327</v>
      </c>
      <c r="P107" s="208">
        <f t="shared" si="32"/>
        <v>357864.79591836734</v>
      </c>
      <c r="R107" s="139">
        <f t="shared" si="29"/>
        <v>119288.26530612243</v>
      </c>
      <c r="X107"/>
      <c r="Y107"/>
      <c r="Z107" s="144"/>
      <c r="AB107"/>
      <c r="AC107"/>
      <c r="AD107" s="144"/>
      <c r="AF107" s="87"/>
    </row>
    <row r="108" spans="1:32" ht="13.2" x14ac:dyDescent="0.25">
      <c r="A108" s="40">
        <v>66611</v>
      </c>
      <c r="B108" s="110" t="s">
        <v>164</v>
      </c>
      <c r="C108" s="94">
        <v>323497.02</v>
      </c>
      <c r="D108" s="87"/>
      <c r="E108" s="87">
        <f t="shared" si="24"/>
        <v>323497.02</v>
      </c>
      <c r="G108" s="16">
        <f t="shared" si="25"/>
        <v>291312.36749999999</v>
      </c>
      <c r="H108" s="98">
        <f t="shared" si="26"/>
        <v>32184.6525</v>
      </c>
      <c r="I108" s="85"/>
      <c r="J108" s="144">
        <v>977668.55</v>
      </c>
      <c r="K108" s="87"/>
      <c r="L108" s="87"/>
      <c r="M108" s="87">
        <f t="shared" si="27"/>
        <v>977668.55</v>
      </c>
      <c r="O108" s="145">
        <f t="shared" si="31"/>
        <v>880400.50548469392</v>
      </c>
      <c r="P108" s="22">
        <f t="shared" si="32"/>
        <v>97268.04451530613</v>
      </c>
      <c r="Q108" s="106" t="s">
        <v>460</v>
      </c>
      <c r="R108" s="139">
        <f t="shared" si="29"/>
        <v>65083.392015306134</v>
      </c>
      <c r="X108"/>
      <c r="Y108"/>
      <c r="Z108" s="144"/>
      <c r="AB108"/>
      <c r="AC108"/>
      <c r="AD108" s="144"/>
      <c r="AF108" s="87"/>
    </row>
    <row r="109" spans="1:32" ht="13.2" x14ac:dyDescent="0.25">
      <c r="A109" s="40">
        <v>66621</v>
      </c>
      <c r="B109" s="110" t="s">
        <v>248</v>
      </c>
      <c r="C109" s="94"/>
      <c r="D109" s="87"/>
      <c r="E109" s="87"/>
      <c r="G109" s="16"/>
      <c r="H109" s="98"/>
      <c r="I109" s="85"/>
      <c r="J109" s="144">
        <v>471044</v>
      </c>
      <c r="K109" s="87"/>
      <c r="L109" s="87"/>
      <c r="M109" s="87">
        <f t="shared" si="27"/>
        <v>471044</v>
      </c>
      <c r="O109" s="16">
        <f>+M109</f>
        <v>471044</v>
      </c>
      <c r="P109" s="22"/>
      <c r="R109" s="139">
        <f t="shared" si="29"/>
        <v>0</v>
      </c>
      <c r="X109"/>
      <c r="Y109"/>
      <c r="Z109" s="144"/>
      <c r="AB109"/>
      <c r="AC109"/>
      <c r="AD109" s="144"/>
      <c r="AF109" s="87"/>
    </row>
    <row r="110" spans="1:32" ht="13.2" x14ac:dyDescent="0.25">
      <c r="A110" s="40">
        <v>66631</v>
      </c>
      <c r="B110" s="110" t="s">
        <v>165</v>
      </c>
      <c r="C110" s="94">
        <v>935000.01</v>
      </c>
      <c r="D110" s="87"/>
      <c r="E110" s="87">
        <f t="shared" si="24"/>
        <v>935000.01</v>
      </c>
      <c r="G110" s="16">
        <f t="shared" si="25"/>
        <v>841977.04982142861</v>
      </c>
      <c r="H110" s="98">
        <f t="shared" si="26"/>
        <v>93022.960178571433</v>
      </c>
      <c r="I110" s="85"/>
      <c r="J110" s="144">
        <v>1400000.01</v>
      </c>
      <c r="K110" s="87"/>
      <c r="L110" s="87"/>
      <c r="M110" s="87">
        <f t="shared" si="27"/>
        <v>1400000.01</v>
      </c>
      <c r="O110" s="145">
        <f t="shared" ref="O110:O117" si="33">+M110*$G$3+K110</f>
        <v>1260714.2947193878</v>
      </c>
      <c r="P110" s="22">
        <f t="shared" si="32"/>
        <v>139285.71528061223</v>
      </c>
      <c r="Q110" s="106" t="s">
        <v>460</v>
      </c>
      <c r="R110" s="139">
        <f t="shared" si="29"/>
        <v>46262.755102040799</v>
      </c>
      <c r="X110"/>
      <c r="Y110"/>
      <c r="Z110" s="144"/>
      <c r="AB110"/>
      <c r="AC110"/>
      <c r="AD110" s="144"/>
      <c r="AF110" s="87"/>
    </row>
    <row r="111" spans="1:32" ht="13.2" x14ac:dyDescent="0.25">
      <c r="A111" s="40">
        <v>66701</v>
      </c>
      <c r="B111" s="110" t="s">
        <v>47</v>
      </c>
      <c r="C111" s="94">
        <v>60000</v>
      </c>
      <c r="D111" s="87"/>
      <c r="E111" s="87">
        <f t="shared" si="24"/>
        <v>60000</v>
      </c>
      <c r="G111" s="16">
        <f t="shared" si="25"/>
        <v>54030.612244897959</v>
      </c>
      <c r="H111" s="98">
        <f t="shared" si="26"/>
        <v>5969.3877551020405</v>
      </c>
      <c r="I111" s="85"/>
      <c r="J111" s="144">
        <v>300000</v>
      </c>
      <c r="K111" s="87"/>
      <c r="L111" s="87"/>
      <c r="M111" s="87">
        <f t="shared" si="27"/>
        <v>300000</v>
      </c>
      <c r="O111" s="145">
        <f t="shared" si="33"/>
        <v>270153.06122448976</v>
      </c>
      <c r="P111" s="22">
        <f t="shared" si="32"/>
        <v>29846.938775510203</v>
      </c>
      <c r="R111" s="139">
        <f t="shared" si="29"/>
        <v>23877.551020408162</v>
      </c>
      <c r="X111"/>
      <c r="Y111"/>
      <c r="Z111" s="144"/>
      <c r="AB111"/>
      <c r="AC111"/>
      <c r="AD111" s="144"/>
      <c r="AF111" s="87"/>
    </row>
    <row r="112" spans="1:32" ht="13.2" x14ac:dyDescent="0.25">
      <c r="A112" s="40">
        <v>66703</v>
      </c>
      <c r="B112" s="110" t="s">
        <v>48</v>
      </c>
      <c r="C112" s="94">
        <v>-4875</v>
      </c>
      <c r="D112" s="87"/>
      <c r="E112" s="87">
        <f t="shared" si="24"/>
        <v>-4875</v>
      </c>
      <c r="G112" s="16">
        <f t="shared" si="25"/>
        <v>-4389.9872448979595</v>
      </c>
      <c r="H112" s="98">
        <f t="shared" si="26"/>
        <v>-485.01275510204084</v>
      </c>
      <c r="I112" s="74"/>
      <c r="J112" s="144">
        <v>-4875</v>
      </c>
      <c r="K112" s="87"/>
      <c r="L112" s="87"/>
      <c r="M112" s="87">
        <f t="shared" si="27"/>
        <v>-4875</v>
      </c>
      <c r="O112" s="145">
        <f t="shared" si="33"/>
        <v>-4389.9872448979595</v>
      </c>
      <c r="P112" s="22">
        <f t="shared" si="32"/>
        <v>-485.01275510204084</v>
      </c>
      <c r="R112" s="139">
        <f t="shared" si="29"/>
        <v>0</v>
      </c>
      <c r="X112"/>
      <c r="Y112"/>
      <c r="Z112" s="144"/>
      <c r="AB112"/>
      <c r="AC112"/>
      <c r="AD112" s="144"/>
      <c r="AF112" s="87"/>
    </row>
    <row r="113" spans="1:32" ht="13.2" x14ac:dyDescent="0.25">
      <c r="A113" s="40">
        <v>66705</v>
      </c>
      <c r="B113" s="110" t="s">
        <v>166</v>
      </c>
      <c r="C113" s="94">
        <v>1038772</v>
      </c>
      <c r="D113" s="87"/>
      <c r="E113" s="87">
        <f t="shared" si="24"/>
        <v>1038772</v>
      </c>
      <c r="G113" s="16">
        <f t="shared" si="25"/>
        <v>935424.78571428568</v>
      </c>
      <c r="H113" s="98">
        <f t="shared" si="26"/>
        <v>103347.21428571429</v>
      </c>
      <c r="I113" s="85"/>
      <c r="J113" s="144">
        <v>1252502.24</v>
      </c>
      <c r="K113" s="87"/>
      <c r="L113" s="87">
        <v>325000</v>
      </c>
      <c r="M113" s="87">
        <f t="shared" si="27"/>
        <v>927502.24</v>
      </c>
      <c r="O113" s="145">
        <f t="shared" si="33"/>
        <v>835225.23142857139</v>
      </c>
      <c r="P113" s="208">
        <f>+M113*$H$3+L113</f>
        <v>417277.0085714286</v>
      </c>
      <c r="R113" s="139">
        <f t="shared" si="29"/>
        <v>313929.79428571428</v>
      </c>
      <c r="X113"/>
      <c r="Y113"/>
      <c r="Z113" s="144"/>
      <c r="AB113"/>
      <c r="AC113"/>
      <c r="AD113" s="144"/>
      <c r="AF113" s="87"/>
    </row>
    <row r="114" spans="1:32" ht="13.2" x14ac:dyDescent="0.25">
      <c r="A114" s="40">
        <v>66910</v>
      </c>
      <c r="B114" s="110" t="s">
        <v>167</v>
      </c>
      <c r="C114" s="94">
        <v>294077.24</v>
      </c>
      <c r="D114" s="87"/>
      <c r="E114" s="87">
        <f t="shared" si="24"/>
        <v>294077.24</v>
      </c>
      <c r="G114" s="16">
        <f t="shared" si="25"/>
        <v>264819.55540816323</v>
      </c>
      <c r="H114" s="98">
        <f t="shared" si="26"/>
        <v>29257.684591836733</v>
      </c>
      <c r="I114" s="74"/>
      <c r="J114" s="144">
        <v>423077.64</v>
      </c>
      <c r="K114" s="87"/>
      <c r="L114" s="87"/>
      <c r="M114" s="87">
        <f t="shared" si="27"/>
        <v>423077.64</v>
      </c>
      <c r="O114" s="145">
        <f t="shared" si="33"/>
        <v>380985.73193877551</v>
      </c>
      <c r="P114" s="219">
        <f t="shared" si="32"/>
        <v>42091.908061224494</v>
      </c>
      <c r="R114" s="139">
        <f t="shared" si="29"/>
        <v>12834.223469387762</v>
      </c>
      <c r="X114"/>
      <c r="Y114"/>
      <c r="Z114" s="144"/>
      <c r="AB114"/>
      <c r="AC114"/>
      <c r="AD114" s="144"/>
      <c r="AF114" s="87"/>
    </row>
    <row r="115" spans="1:32" ht="13.2" x14ac:dyDescent="0.25">
      <c r="A115" s="40">
        <v>66911</v>
      </c>
      <c r="B115" s="110" t="s">
        <v>168</v>
      </c>
      <c r="C115" s="94">
        <v>261487.9</v>
      </c>
      <c r="D115" s="87"/>
      <c r="E115" s="87">
        <f t="shared" si="24"/>
        <v>261487.9</v>
      </c>
      <c r="G115" s="16">
        <f t="shared" si="25"/>
        <v>235472.52219387755</v>
      </c>
      <c r="H115" s="98">
        <f t="shared" si="26"/>
        <v>26015.377806122448</v>
      </c>
      <c r="I115" s="74"/>
      <c r="J115" s="144">
        <v>318035.65999999997</v>
      </c>
      <c r="K115" s="87"/>
      <c r="L115" s="87"/>
      <c r="M115" s="87">
        <f t="shared" si="27"/>
        <v>318035.65999999997</v>
      </c>
      <c r="O115" s="145">
        <f t="shared" si="33"/>
        <v>286394.35709183669</v>
      </c>
      <c r="P115" s="219">
        <f t="shared" si="32"/>
        <v>31641.302908163263</v>
      </c>
      <c r="R115" s="139">
        <f t="shared" si="29"/>
        <v>5625.9251020408155</v>
      </c>
      <c r="X115"/>
      <c r="Y115"/>
      <c r="Z115" s="144"/>
      <c r="AB115"/>
      <c r="AC115"/>
      <c r="AD115" s="144"/>
      <c r="AF115" s="87"/>
    </row>
    <row r="116" spans="1:32" ht="13.2" x14ac:dyDescent="0.25">
      <c r="A116" s="40">
        <v>66914</v>
      </c>
      <c r="B116" s="110" t="s">
        <v>169</v>
      </c>
      <c r="C116" s="94">
        <v>240425</v>
      </c>
      <c r="D116" s="87"/>
      <c r="E116" s="87">
        <f t="shared" si="24"/>
        <v>240425</v>
      </c>
      <c r="G116" s="16">
        <f t="shared" si="25"/>
        <v>216505.16581632654</v>
      </c>
      <c r="H116" s="98">
        <f t="shared" si="26"/>
        <v>23919.834183673469</v>
      </c>
      <c r="I116" s="74"/>
      <c r="J116" s="144">
        <v>406725</v>
      </c>
      <c r="K116" s="87"/>
      <c r="L116" s="87"/>
      <c r="M116" s="87">
        <f t="shared" si="27"/>
        <v>406725</v>
      </c>
      <c r="O116" s="145">
        <f t="shared" si="33"/>
        <v>366260.01275510201</v>
      </c>
      <c r="P116" s="219">
        <f t="shared" si="32"/>
        <v>40464.987244897959</v>
      </c>
      <c r="R116" s="139">
        <f t="shared" si="29"/>
        <v>16545.15306122449</v>
      </c>
      <c r="X116"/>
      <c r="Y116"/>
      <c r="Z116" s="144"/>
      <c r="AB116"/>
      <c r="AC116"/>
      <c r="AD116" s="144"/>
      <c r="AF116" s="87"/>
    </row>
    <row r="117" spans="1:32" ht="13.2" x14ac:dyDescent="0.25">
      <c r="A117" s="40">
        <v>66915</v>
      </c>
      <c r="B117" s="111" t="s">
        <v>170</v>
      </c>
      <c r="C117" s="94">
        <v>1645297.59</v>
      </c>
      <c r="D117" s="87"/>
      <c r="E117" s="87">
        <f t="shared" si="24"/>
        <v>1645297.59</v>
      </c>
      <c r="F117" s="20"/>
      <c r="G117" s="16">
        <f t="shared" si="25"/>
        <v>1481607.2685459184</v>
      </c>
      <c r="H117" s="98">
        <f t="shared" si="26"/>
        <v>163690.32145408163</v>
      </c>
      <c r="I117" s="74"/>
      <c r="J117" s="144">
        <v>1006962.53</v>
      </c>
      <c r="K117" s="87"/>
      <c r="L117" s="87">
        <f>297229+339263+310850</f>
        <v>947342</v>
      </c>
      <c r="M117" s="87">
        <f t="shared" si="27"/>
        <v>59620.530000000028</v>
      </c>
      <c r="N117" s="20"/>
      <c r="O117" s="145">
        <f t="shared" si="33"/>
        <v>53688.895637755122</v>
      </c>
      <c r="P117" s="208">
        <f>+M117*$H$3+L117</f>
        <v>953273.63436224486</v>
      </c>
      <c r="R117" s="139">
        <f t="shared" si="29"/>
        <v>789583.31290816329</v>
      </c>
      <c r="X117"/>
      <c r="Y117"/>
      <c r="Z117" s="144"/>
      <c r="AB117"/>
      <c r="AC117"/>
      <c r="AD117" s="144"/>
      <c r="AF117" s="87"/>
    </row>
    <row r="118" spans="1:32" ht="13.2" x14ac:dyDescent="0.25">
      <c r="A118" s="40">
        <v>66916</v>
      </c>
      <c r="B118" s="111" t="s">
        <v>249</v>
      </c>
      <c r="C118" s="94"/>
      <c r="D118" s="87"/>
      <c r="E118" s="87"/>
      <c r="F118" s="20"/>
      <c r="G118" s="16"/>
      <c r="H118" s="98"/>
      <c r="I118" s="74"/>
      <c r="J118" s="144">
        <v>-13974</v>
      </c>
      <c r="K118" s="87"/>
      <c r="L118" s="87"/>
      <c r="M118" s="87">
        <f t="shared" si="27"/>
        <v>-13974</v>
      </c>
      <c r="N118" s="20"/>
      <c r="O118" s="16">
        <f>+M118</f>
        <v>-13974</v>
      </c>
      <c r="P118" s="182"/>
      <c r="R118" s="139">
        <f t="shared" si="29"/>
        <v>0</v>
      </c>
      <c r="X118"/>
      <c r="Y118"/>
      <c r="Z118" s="144"/>
      <c r="AB118"/>
      <c r="AC118"/>
      <c r="AD118" s="144"/>
      <c r="AF118" s="87"/>
    </row>
    <row r="119" spans="1:32" ht="13.2" x14ac:dyDescent="0.25">
      <c r="A119" s="40">
        <v>67101</v>
      </c>
      <c r="B119" s="110" t="s">
        <v>171</v>
      </c>
      <c r="C119" s="94">
        <v>101028.04</v>
      </c>
      <c r="D119" s="87"/>
      <c r="E119" s="87">
        <f t="shared" si="24"/>
        <v>101028.04</v>
      </c>
      <c r="G119" s="16">
        <f t="shared" si="25"/>
        <v>90976.780918367338</v>
      </c>
      <c r="H119" s="98">
        <f t="shared" si="26"/>
        <v>10051.259081632652</v>
      </c>
      <c r="I119" s="74"/>
      <c r="J119" s="144">
        <v>142143.93</v>
      </c>
      <c r="K119" s="87"/>
      <c r="L119" s="87"/>
      <c r="M119" s="87">
        <f t="shared" si="27"/>
        <v>142143.93</v>
      </c>
      <c r="O119" s="145">
        <f t="shared" ref="O119:O125" si="34">+M119*$G$3+K119</f>
        <v>128002.05941326529</v>
      </c>
      <c r="P119" s="22">
        <f t="shared" si="32"/>
        <v>14141.870586734693</v>
      </c>
      <c r="R119" s="139">
        <f t="shared" si="29"/>
        <v>4090.6115051020406</v>
      </c>
      <c r="X119"/>
      <c r="Y119"/>
      <c r="Z119" s="144"/>
      <c r="AB119"/>
      <c r="AC119"/>
      <c r="AD119" s="144"/>
      <c r="AF119" s="87"/>
    </row>
    <row r="120" spans="1:32" ht="13.2" x14ac:dyDescent="0.25">
      <c r="A120" s="40">
        <v>67201</v>
      </c>
      <c r="B120" s="110" t="s">
        <v>172</v>
      </c>
      <c r="C120" s="94">
        <v>65351.15</v>
      </c>
      <c r="D120" s="87"/>
      <c r="E120" s="87">
        <f t="shared" si="24"/>
        <v>65351.15</v>
      </c>
      <c r="G120" s="16">
        <f t="shared" si="25"/>
        <v>58849.377423469385</v>
      </c>
      <c r="H120" s="98">
        <f t="shared" si="26"/>
        <v>6501.7725765306122</v>
      </c>
      <c r="I120" s="74"/>
      <c r="J120" s="144">
        <v>87405.38</v>
      </c>
      <c r="K120" s="87"/>
      <c r="L120" s="87"/>
      <c r="M120" s="87">
        <f t="shared" si="27"/>
        <v>87405.38</v>
      </c>
      <c r="O120" s="145">
        <f t="shared" si="34"/>
        <v>78709.436581632661</v>
      </c>
      <c r="P120" s="22">
        <f t="shared" si="32"/>
        <v>8695.9434183673475</v>
      </c>
      <c r="R120" s="139">
        <f t="shared" si="29"/>
        <v>2194.1708418367352</v>
      </c>
      <c r="X120"/>
      <c r="Y120"/>
      <c r="Z120" s="144"/>
      <c r="AB120"/>
      <c r="AC120"/>
      <c r="AD120" s="144"/>
      <c r="AF120" s="87"/>
    </row>
    <row r="121" spans="1:32" ht="13.2" x14ac:dyDescent="0.25">
      <c r="A121" s="40">
        <v>67203</v>
      </c>
      <c r="B121" s="110" t="s">
        <v>173</v>
      </c>
      <c r="C121" s="94">
        <v>1941</v>
      </c>
      <c r="D121" s="87"/>
      <c r="E121" s="87">
        <f t="shared" si="24"/>
        <v>1941</v>
      </c>
      <c r="G121" s="16">
        <f t="shared" si="25"/>
        <v>1747.8903061224489</v>
      </c>
      <c r="H121" s="98">
        <f t="shared" si="26"/>
        <v>193.10969387755102</v>
      </c>
      <c r="I121" s="74"/>
      <c r="J121" s="144">
        <v>2479</v>
      </c>
      <c r="K121" s="87"/>
      <c r="L121" s="87"/>
      <c r="M121" s="87">
        <f t="shared" si="27"/>
        <v>2479</v>
      </c>
      <c r="O121" s="145">
        <f t="shared" si="34"/>
        <v>2232.3647959183672</v>
      </c>
      <c r="P121" s="22">
        <f t="shared" si="32"/>
        <v>246.63520408163265</v>
      </c>
      <c r="R121" s="139">
        <f t="shared" si="29"/>
        <v>53.525510204081627</v>
      </c>
      <c r="X121"/>
      <c r="Y121"/>
      <c r="Z121" s="144"/>
      <c r="AB121"/>
      <c r="AC121"/>
      <c r="AD121" s="144"/>
      <c r="AF121" s="87"/>
    </row>
    <row r="122" spans="1:32" ht="13.2" x14ac:dyDescent="0.25">
      <c r="A122" s="40">
        <v>67205</v>
      </c>
      <c r="B122" s="110" t="s">
        <v>174</v>
      </c>
      <c r="C122" s="94">
        <v>7642.65</v>
      </c>
      <c r="D122" s="87"/>
      <c r="E122" s="87">
        <f t="shared" si="24"/>
        <v>7642.65</v>
      </c>
      <c r="G122" s="16">
        <f t="shared" si="25"/>
        <v>6882.2843112244891</v>
      </c>
      <c r="H122" s="98">
        <f t="shared" si="26"/>
        <v>760.36568877551019</v>
      </c>
      <c r="I122" s="74"/>
      <c r="J122" s="144">
        <v>9936.65</v>
      </c>
      <c r="K122" s="87"/>
      <c r="L122" s="87"/>
      <c r="M122" s="87">
        <f t="shared" si="27"/>
        <v>9936.65</v>
      </c>
      <c r="O122" s="145">
        <f t="shared" si="34"/>
        <v>8948.0547193877537</v>
      </c>
      <c r="P122" s="22">
        <f t="shared" si="32"/>
        <v>988.59528061224489</v>
      </c>
      <c r="R122" s="139">
        <f t="shared" si="29"/>
        <v>228.2295918367347</v>
      </c>
      <c r="X122"/>
      <c r="Y122"/>
      <c r="Z122" s="144"/>
      <c r="AB122"/>
      <c r="AC122"/>
      <c r="AD122" s="144"/>
      <c r="AF122" s="87"/>
    </row>
    <row r="123" spans="1:32" ht="13.2" x14ac:dyDescent="0.25">
      <c r="A123" s="40">
        <v>67206</v>
      </c>
      <c r="B123" s="110" t="s">
        <v>175</v>
      </c>
      <c r="C123" s="94">
        <v>5166.67</v>
      </c>
      <c r="D123" s="87"/>
      <c r="E123" s="87">
        <f t="shared" si="24"/>
        <v>5166.67</v>
      </c>
      <c r="G123" s="16">
        <f t="shared" si="25"/>
        <v>4652.6390561224489</v>
      </c>
      <c r="H123" s="98">
        <f t="shared" si="26"/>
        <v>514.03094387755107</v>
      </c>
      <c r="I123" s="74"/>
      <c r="J123" s="144">
        <v>111421.79</v>
      </c>
      <c r="K123" s="87"/>
      <c r="L123" s="87"/>
      <c r="M123" s="87">
        <f t="shared" si="27"/>
        <v>111421.79</v>
      </c>
      <c r="O123" s="145">
        <f t="shared" si="34"/>
        <v>100336.45885204081</v>
      </c>
      <c r="P123" s="22">
        <f t="shared" si="32"/>
        <v>11085.331147959183</v>
      </c>
      <c r="R123" s="139">
        <f t="shared" si="29"/>
        <v>10571.300204081632</v>
      </c>
      <c r="X123"/>
      <c r="Y123"/>
      <c r="Z123" s="144"/>
      <c r="AB123"/>
      <c r="AC123"/>
      <c r="AD123" s="144"/>
      <c r="AF123" s="87"/>
    </row>
    <row r="124" spans="1:32" ht="13.2" x14ac:dyDescent="0.25">
      <c r="A124" s="40">
        <v>67911</v>
      </c>
      <c r="B124" s="110" t="s">
        <v>177</v>
      </c>
      <c r="C124" s="94">
        <v>21580</v>
      </c>
      <c r="D124" s="87"/>
      <c r="E124" s="87">
        <f t="shared" si="24"/>
        <v>21580</v>
      </c>
      <c r="G124" s="16">
        <f>+E124*$G$3</f>
        <v>19433.010204081631</v>
      </c>
      <c r="H124" s="98">
        <f>+E124*$H$3</f>
        <v>2146.9897959183672</v>
      </c>
      <c r="I124" s="85"/>
      <c r="J124" s="144">
        <v>21863</v>
      </c>
      <c r="K124" s="87"/>
      <c r="L124" s="87"/>
      <c r="M124" s="87">
        <f t="shared" si="27"/>
        <v>21863</v>
      </c>
      <c r="O124" s="145">
        <f t="shared" si="34"/>
        <v>19687.854591836734</v>
      </c>
      <c r="P124" s="22">
        <f t="shared" si="32"/>
        <v>2175.1454081632651</v>
      </c>
      <c r="R124" s="139">
        <f t="shared" ref="R124:R155" si="35">+P124-H124</f>
        <v>28.155612244897839</v>
      </c>
      <c r="X124"/>
      <c r="Y124"/>
      <c r="Z124" s="144"/>
      <c r="AB124"/>
      <c r="AC124"/>
      <c r="AD124" s="144"/>
      <c r="AF124" s="87"/>
    </row>
    <row r="125" spans="1:32" ht="13.2" x14ac:dyDescent="0.25">
      <c r="A125" s="40">
        <v>67912</v>
      </c>
      <c r="B125" s="110" t="s">
        <v>176</v>
      </c>
      <c r="C125" s="94">
        <v>19318</v>
      </c>
      <c r="D125" s="87"/>
      <c r="E125" s="87">
        <f t="shared" si="24"/>
        <v>19318</v>
      </c>
      <c r="G125" s="16">
        <f>+E125*$G$3</f>
        <v>17396.056122448979</v>
      </c>
      <c r="H125" s="98">
        <f>+E125*$H$3</f>
        <v>1921.9438775510205</v>
      </c>
      <c r="I125" s="85"/>
      <c r="J125" s="144">
        <v>26160.5</v>
      </c>
      <c r="K125" s="87"/>
      <c r="L125" s="87"/>
      <c r="M125" s="87">
        <f t="shared" si="27"/>
        <v>26160.5</v>
      </c>
      <c r="O125" s="145">
        <f t="shared" si="34"/>
        <v>23557.797193877552</v>
      </c>
      <c r="P125" s="22">
        <f t="shared" si="32"/>
        <v>2602.7028061224491</v>
      </c>
      <c r="R125" s="139">
        <f t="shared" si="35"/>
        <v>680.75892857142867</v>
      </c>
      <c r="X125"/>
      <c r="Y125"/>
      <c r="Z125" s="144"/>
      <c r="AB125"/>
      <c r="AC125"/>
      <c r="AD125" s="144"/>
      <c r="AF125" s="87"/>
    </row>
    <row r="126" spans="1:32" ht="13.2" x14ac:dyDescent="0.25">
      <c r="A126" s="40">
        <v>67941</v>
      </c>
      <c r="B126" s="110" t="s">
        <v>250</v>
      </c>
      <c r="C126" s="94"/>
      <c r="D126" s="87"/>
      <c r="E126" s="87"/>
      <c r="G126" s="16"/>
      <c r="H126" s="98"/>
      <c r="I126" s="85"/>
      <c r="J126" s="144">
        <v>20762.669999999998</v>
      </c>
      <c r="K126" s="87"/>
      <c r="L126" s="87"/>
      <c r="M126" s="87">
        <f t="shared" si="27"/>
        <v>20762.669999999998</v>
      </c>
      <c r="O126" s="16">
        <f>+M126</f>
        <v>20762.669999999998</v>
      </c>
      <c r="P126" s="22"/>
      <c r="R126" s="139">
        <f t="shared" si="35"/>
        <v>0</v>
      </c>
      <c r="X126"/>
      <c r="Y126"/>
      <c r="Z126" s="144"/>
      <c r="AB126"/>
      <c r="AC126"/>
      <c r="AD126" s="144"/>
      <c r="AF126" s="87"/>
    </row>
    <row r="127" spans="1:32" ht="13.2" x14ac:dyDescent="0.25">
      <c r="A127" s="40">
        <v>67999</v>
      </c>
      <c r="B127" s="110" t="s">
        <v>178</v>
      </c>
      <c r="C127" s="94">
        <v>35025.9</v>
      </c>
      <c r="D127" s="87"/>
      <c r="E127" s="87">
        <f>+C127-D127</f>
        <v>35025.9</v>
      </c>
      <c r="G127" s="16">
        <f t="shared" si="25"/>
        <v>31541.180357142857</v>
      </c>
      <c r="H127" s="98">
        <f t="shared" si="26"/>
        <v>3484.7196428571428</v>
      </c>
      <c r="I127" s="85"/>
      <c r="J127" s="144">
        <v>57561.38</v>
      </c>
      <c r="K127" s="87"/>
      <c r="L127" s="87"/>
      <c r="M127" s="87">
        <f t="shared" si="27"/>
        <v>57561.38</v>
      </c>
      <c r="O127" s="145">
        <f>+M127*$G$3+K127</f>
        <v>51834.610051020405</v>
      </c>
      <c r="P127" s="22">
        <f t="shared" si="32"/>
        <v>5726.7699489795914</v>
      </c>
      <c r="R127" s="139">
        <f t="shared" si="35"/>
        <v>2242.0503061224485</v>
      </c>
      <c r="X127"/>
      <c r="Y127"/>
      <c r="Z127" s="144"/>
      <c r="AB127"/>
      <c r="AC127"/>
      <c r="AD127" s="144"/>
      <c r="AF127" s="87"/>
    </row>
    <row r="128" spans="1:32" ht="13.2" x14ac:dyDescent="0.25">
      <c r="A128" s="40">
        <v>68101</v>
      </c>
      <c r="B128" s="110" t="s">
        <v>251</v>
      </c>
      <c r="C128" s="94"/>
      <c r="D128" s="87"/>
      <c r="E128" s="87"/>
      <c r="G128" s="16"/>
      <c r="H128" s="98"/>
      <c r="I128" s="85"/>
      <c r="J128" s="144">
        <v>1601.93</v>
      </c>
      <c r="K128" s="87"/>
      <c r="L128" s="87"/>
      <c r="M128" s="87">
        <f t="shared" si="27"/>
        <v>1601.93</v>
      </c>
      <c r="O128" s="16">
        <f>+M128</f>
        <v>1601.93</v>
      </c>
      <c r="P128" s="180"/>
      <c r="R128" s="139">
        <f t="shared" si="35"/>
        <v>0</v>
      </c>
      <c r="X128"/>
      <c r="Y128"/>
      <c r="Z128" s="144"/>
      <c r="AB128"/>
      <c r="AC128"/>
      <c r="AD128" s="144"/>
      <c r="AF128" s="87"/>
    </row>
    <row r="129" spans="1:32" ht="13.2" x14ac:dyDescent="0.25">
      <c r="A129" s="40">
        <v>68103</v>
      </c>
      <c r="B129" s="110" t="s">
        <v>179</v>
      </c>
      <c r="C129" s="94">
        <v>18457.7</v>
      </c>
      <c r="D129" s="87"/>
      <c r="E129" s="87">
        <f>+C129-D129</f>
        <v>18457.7</v>
      </c>
      <c r="G129" s="16">
        <f t="shared" si="25"/>
        <v>16621.347193877551</v>
      </c>
      <c r="H129" s="98">
        <f t="shared" si="26"/>
        <v>1836.352806122449</v>
      </c>
      <c r="I129" s="85"/>
      <c r="J129" s="144">
        <v>22454.76</v>
      </c>
      <c r="K129" s="87"/>
      <c r="L129" s="87"/>
      <c r="M129" s="87">
        <f t="shared" si="27"/>
        <v>22454.76</v>
      </c>
      <c r="O129" s="145">
        <f>+M129*$G$3+K129</f>
        <v>20220.740510204079</v>
      </c>
      <c r="P129" s="215">
        <f t="shared" si="32"/>
        <v>2234.0194897959182</v>
      </c>
      <c r="R129" s="139">
        <f t="shared" si="35"/>
        <v>397.66668367346915</v>
      </c>
      <c r="X129"/>
      <c r="Y129"/>
      <c r="Z129" s="144"/>
      <c r="AB129"/>
      <c r="AC129"/>
      <c r="AD129" s="144"/>
      <c r="AF129" s="87"/>
    </row>
    <row r="130" spans="1:32" ht="13.2" x14ac:dyDescent="0.25">
      <c r="A130" s="40">
        <v>68104</v>
      </c>
      <c r="B130" s="110" t="s">
        <v>180</v>
      </c>
      <c r="C130" s="94">
        <v>5445.3</v>
      </c>
      <c r="D130" s="87"/>
      <c r="E130" s="87">
        <f t="shared" si="24"/>
        <v>5445.3</v>
      </c>
      <c r="G130" s="16">
        <f t="shared" si="25"/>
        <v>4903.5482142857145</v>
      </c>
      <c r="H130" s="98">
        <f t="shared" si="26"/>
        <v>541.75178571428569</v>
      </c>
      <c r="I130" s="85"/>
      <c r="J130" s="144">
        <v>29141.69</v>
      </c>
      <c r="K130" s="87"/>
      <c r="L130" s="87"/>
      <c r="M130" s="87">
        <f t="shared" si="27"/>
        <v>29141.69</v>
      </c>
      <c r="O130" s="145">
        <f>+M130*$G$3+K130</f>
        <v>26242.389209183671</v>
      </c>
      <c r="P130" s="215">
        <f t="shared" si="32"/>
        <v>2899.3007908163263</v>
      </c>
      <c r="R130" s="139">
        <f t="shared" si="35"/>
        <v>2357.5490051020406</v>
      </c>
      <c r="X130"/>
      <c r="Y130"/>
      <c r="Z130" s="144"/>
      <c r="AB130"/>
      <c r="AC130"/>
      <c r="AD130" s="144"/>
      <c r="AF130" s="87"/>
    </row>
    <row r="131" spans="1:32" ht="13.2" x14ac:dyDescent="0.25">
      <c r="A131" s="40">
        <v>68109</v>
      </c>
      <c r="B131" s="110" t="s">
        <v>181</v>
      </c>
      <c r="C131" s="94">
        <v>142204.48000000001</v>
      </c>
      <c r="D131" s="87"/>
      <c r="E131" s="87">
        <f t="shared" si="24"/>
        <v>142204.48000000001</v>
      </c>
      <c r="G131" s="16">
        <f t="shared" si="25"/>
        <v>128056.58530612245</v>
      </c>
      <c r="H131" s="98">
        <f t="shared" si="26"/>
        <v>14147.894693877552</v>
      </c>
      <c r="I131" s="85"/>
      <c r="J131" s="144">
        <v>209390.27</v>
      </c>
      <c r="K131" s="87"/>
      <c r="L131" s="87"/>
      <c r="M131" s="87">
        <f t="shared" si="27"/>
        <v>209390.27</v>
      </c>
      <c r="O131" s="145">
        <f>+M131*$G$3+K131</f>
        <v>188558.07477040816</v>
      </c>
      <c r="P131" s="215">
        <f t="shared" si="32"/>
        <v>20832.195229591835</v>
      </c>
      <c r="R131" s="139">
        <f t="shared" si="35"/>
        <v>6684.3005357142829</v>
      </c>
      <c r="X131"/>
      <c r="Y131"/>
      <c r="Z131" s="144"/>
      <c r="AB131"/>
      <c r="AC131"/>
      <c r="AD131" s="144"/>
      <c r="AF131" s="87"/>
    </row>
    <row r="132" spans="1:32" ht="13.2" x14ac:dyDescent="0.25">
      <c r="A132" s="40">
        <v>68111</v>
      </c>
      <c r="B132" s="110" t="s">
        <v>182</v>
      </c>
      <c r="C132" s="94">
        <v>-15000</v>
      </c>
      <c r="D132" s="87"/>
      <c r="E132" s="87">
        <f t="shared" si="24"/>
        <v>-15000</v>
      </c>
      <c r="G132" s="16">
        <f t="shared" si="25"/>
        <v>-13507.65306122449</v>
      </c>
      <c r="H132" s="98">
        <f t="shared" si="26"/>
        <v>-1492.3469387755101</v>
      </c>
      <c r="I132" s="85"/>
      <c r="J132" s="144">
        <v>-15000</v>
      </c>
      <c r="K132" s="87"/>
      <c r="L132" s="87"/>
      <c r="M132" s="87">
        <f t="shared" si="27"/>
        <v>-15000</v>
      </c>
      <c r="O132" s="145">
        <f>+M132*$G$3+K132</f>
        <v>-13507.65306122449</v>
      </c>
      <c r="P132" s="215">
        <f t="shared" si="32"/>
        <v>-1492.3469387755101</v>
      </c>
      <c r="R132" s="139">
        <f t="shared" si="35"/>
        <v>0</v>
      </c>
      <c r="X132"/>
      <c r="Y132"/>
      <c r="Z132" s="144"/>
      <c r="AB132"/>
      <c r="AC132"/>
      <c r="AD132" s="144"/>
      <c r="AF132" s="87"/>
    </row>
    <row r="133" spans="1:32" ht="13.2" x14ac:dyDescent="0.25">
      <c r="A133" s="40">
        <v>68116</v>
      </c>
      <c r="B133" s="110" t="s">
        <v>252</v>
      </c>
      <c r="C133" s="94"/>
      <c r="D133" s="87"/>
      <c r="E133" s="87"/>
      <c r="G133" s="16"/>
      <c r="H133" s="98"/>
      <c r="I133" s="85"/>
      <c r="J133" s="144">
        <v>14164.62</v>
      </c>
      <c r="K133" s="87"/>
      <c r="L133" s="87"/>
      <c r="M133" s="87">
        <f t="shared" si="27"/>
        <v>14164.62</v>
      </c>
      <c r="O133" s="16">
        <f>+M133</f>
        <v>14164.62</v>
      </c>
      <c r="P133" s="215"/>
      <c r="R133" s="139">
        <f t="shared" si="35"/>
        <v>0</v>
      </c>
      <c r="X133"/>
      <c r="Y133"/>
      <c r="Z133" s="144"/>
      <c r="AB133"/>
      <c r="AC133"/>
      <c r="AD133" s="144"/>
      <c r="AF133" s="87"/>
    </row>
    <row r="134" spans="1:32" ht="13.2" x14ac:dyDescent="0.25">
      <c r="A134" s="91">
        <v>68126</v>
      </c>
      <c r="B134" s="110" t="s">
        <v>183</v>
      </c>
      <c r="C134" s="87">
        <v>103665.94</v>
      </c>
      <c r="D134" s="87"/>
      <c r="E134" s="87">
        <f t="shared" si="24"/>
        <v>103665.94</v>
      </c>
      <c r="G134" s="16">
        <f t="shared" si="25"/>
        <v>93352.236785714282</v>
      </c>
      <c r="H134" s="98">
        <f t="shared" si="26"/>
        <v>10313.703214285715</v>
      </c>
      <c r="I134" s="85"/>
      <c r="J134" s="144">
        <v>155165.57999999999</v>
      </c>
      <c r="K134" s="87"/>
      <c r="L134" s="87"/>
      <c r="M134" s="87">
        <f t="shared" si="27"/>
        <v>155165.57999999999</v>
      </c>
      <c r="O134" s="145">
        <f>+M134*$G$3+K134</f>
        <v>139728.18811224488</v>
      </c>
      <c r="P134" s="215">
        <f t="shared" si="32"/>
        <v>15437.3918877551</v>
      </c>
      <c r="R134" s="139">
        <f t="shared" si="35"/>
        <v>5123.6886734693853</v>
      </c>
      <c r="X134"/>
      <c r="Y134"/>
      <c r="Z134" s="144"/>
      <c r="AB134"/>
      <c r="AC134"/>
      <c r="AD134" s="144"/>
      <c r="AF134" s="87"/>
    </row>
    <row r="135" spans="1:32" ht="13.2" x14ac:dyDescent="0.25">
      <c r="A135" s="40">
        <v>68127</v>
      </c>
      <c r="B135" s="110" t="s">
        <v>184</v>
      </c>
      <c r="C135" s="87">
        <v>-103665.94</v>
      </c>
      <c r="D135" s="87"/>
      <c r="E135" s="87">
        <f t="shared" si="24"/>
        <v>-103665.94</v>
      </c>
      <c r="G135" s="16">
        <f t="shared" si="25"/>
        <v>-93352.236785714282</v>
      </c>
      <c r="H135" s="98">
        <f t="shared" si="26"/>
        <v>-10313.703214285715</v>
      </c>
      <c r="I135" s="85"/>
      <c r="J135" s="144">
        <v>-155165.57999999999</v>
      </c>
      <c r="K135" s="87"/>
      <c r="L135" s="87"/>
      <c r="M135" s="87">
        <f t="shared" si="27"/>
        <v>-155165.57999999999</v>
      </c>
      <c r="O135" s="145">
        <f>+M135*$G$3+K135</f>
        <v>-139728.18811224488</v>
      </c>
      <c r="P135" s="215">
        <f t="shared" si="32"/>
        <v>-15437.3918877551</v>
      </c>
      <c r="R135" s="139">
        <f t="shared" si="35"/>
        <v>-5123.6886734693853</v>
      </c>
      <c r="X135"/>
      <c r="Y135"/>
      <c r="Z135" s="144"/>
      <c r="AA135" s="15"/>
      <c r="AB135"/>
      <c r="AC135"/>
      <c r="AD135" s="144"/>
      <c r="AF135" s="87"/>
    </row>
    <row r="136" spans="1:32" s="15" customFormat="1" ht="13.2" x14ac:dyDescent="0.25">
      <c r="A136" s="117">
        <v>68501</v>
      </c>
      <c r="B136" s="15" t="s">
        <v>49</v>
      </c>
      <c r="C136" s="118">
        <v>122345.07</v>
      </c>
      <c r="D136" s="118">
        <f>+C136*0.5</f>
        <v>61172.535000000003</v>
      </c>
      <c r="E136" s="118">
        <f t="shared" si="24"/>
        <v>61172.535000000003</v>
      </c>
      <c r="G136" s="119">
        <f>+E136*G3+D136</f>
        <v>116259.02697704082</v>
      </c>
      <c r="H136" s="98">
        <f t="shared" si="26"/>
        <v>6086.0430229591839</v>
      </c>
      <c r="I136" s="122"/>
      <c r="J136" s="144">
        <v>182686.54</v>
      </c>
      <c r="K136" s="118">
        <f>+J136*0.5</f>
        <v>91343.27</v>
      </c>
      <c r="L136" s="118"/>
      <c r="M136" s="87">
        <f t="shared" si="27"/>
        <v>91343.27</v>
      </c>
      <c r="O136" s="145">
        <f>+M136*$G$3+K136</f>
        <v>173598.81670918368</v>
      </c>
      <c r="P136" s="215">
        <f t="shared" si="32"/>
        <v>9087.7232908163278</v>
      </c>
      <c r="Q136" s="137"/>
      <c r="R136" s="139">
        <f t="shared" si="35"/>
        <v>3001.6802678571439</v>
      </c>
      <c r="X136"/>
      <c r="Y136"/>
      <c r="Z136" s="144"/>
      <c r="AA136" s="12"/>
      <c r="AB136"/>
      <c r="AC136"/>
      <c r="AD136" s="144"/>
      <c r="AE136" s="12"/>
      <c r="AF136" s="87"/>
    </row>
    <row r="137" spans="1:32" ht="13.2" x14ac:dyDescent="0.25">
      <c r="A137" s="40">
        <v>68505</v>
      </c>
      <c r="B137" s="110" t="s">
        <v>185</v>
      </c>
      <c r="C137" s="87">
        <v>1142.28</v>
      </c>
      <c r="D137" s="87"/>
      <c r="E137" s="87">
        <f t="shared" si="24"/>
        <v>1142.28</v>
      </c>
      <c r="G137" s="16">
        <f t="shared" si="25"/>
        <v>1028.6347959183672</v>
      </c>
      <c r="H137" s="98">
        <f t="shared" si="26"/>
        <v>113.64520408163266</v>
      </c>
      <c r="I137" s="85"/>
      <c r="J137" s="144">
        <v>1142.28</v>
      </c>
      <c r="K137" s="87"/>
      <c r="L137" s="87"/>
      <c r="M137" s="87">
        <f t="shared" si="27"/>
        <v>1142.28</v>
      </c>
      <c r="O137" s="145">
        <f>+M137*$G$3+K137</f>
        <v>1028.6347959183672</v>
      </c>
      <c r="P137" s="195">
        <f t="shared" si="32"/>
        <v>113.64520408163266</v>
      </c>
      <c r="R137" s="139">
        <f t="shared" si="35"/>
        <v>0</v>
      </c>
      <c r="X137"/>
      <c r="Y137"/>
      <c r="Z137" s="144"/>
      <c r="AB137"/>
      <c r="AC137"/>
      <c r="AD137" s="144"/>
      <c r="AF137" s="87"/>
    </row>
    <row r="138" spans="1:32" ht="13.2" x14ac:dyDescent="0.25">
      <c r="A138" s="40">
        <v>69111</v>
      </c>
      <c r="B138" s="110" t="s">
        <v>253</v>
      </c>
      <c r="C138" s="87"/>
      <c r="D138" s="87"/>
      <c r="E138" s="87"/>
      <c r="G138" s="16"/>
      <c r="H138" s="98"/>
      <c r="I138" s="85"/>
      <c r="J138" s="144">
        <v>7478.93</v>
      </c>
      <c r="K138" s="87"/>
      <c r="L138" s="87"/>
      <c r="M138" s="87">
        <f t="shared" si="27"/>
        <v>7478.93</v>
      </c>
      <c r="O138" s="16">
        <f>+M138</f>
        <v>7478.93</v>
      </c>
      <c r="P138" s="195"/>
      <c r="R138" s="139">
        <f t="shared" si="35"/>
        <v>0</v>
      </c>
      <c r="X138"/>
      <c r="Y138"/>
      <c r="Z138" s="144"/>
      <c r="AB138"/>
      <c r="AC138"/>
      <c r="AD138" s="144"/>
      <c r="AF138" s="87"/>
    </row>
    <row r="139" spans="1:32" ht="13.2" x14ac:dyDescent="0.25">
      <c r="A139" s="40">
        <v>69113</v>
      </c>
      <c r="B139" s="110" t="s">
        <v>186</v>
      </c>
      <c r="C139" s="87">
        <v>28687.200000000001</v>
      </c>
      <c r="D139" s="87"/>
      <c r="E139" s="87">
        <f t="shared" si="24"/>
        <v>28687.200000000001</v>
      </c>
      <c r="G139" s="16">
        <f t="shared" si="25"/>
        <v>25833.116326530613</v>
      </c>
      <c r="H139" s="98">
        <f t="shared" si="26"/>
        <v>2854.083673469388</v>
      </c>
      <c r="I139" s="85"/>
      <c r="J139" s="144">
        <v>36403.199999999997</v>
      </c>
      <c r="K139" s="87"/>
      <c r="L139" s="87"/>
      <c r="M139" s="87">
        <f t="shared" si="27"/>
        <v>36403.199999999997</v>
      </c>
      <c r="O139" s="145">
        <f>+M139*$G$3+K139</f>
        <v>32781.453061224485</v>
      </c>
      <c r="P139" s="195">
        <f t="shared" si="32"/>
        <v>3621.74693877551</v>
      </c>
      <c r="R139" s="139">
        <f t="shared" si="35"/>
        <v>767.66326530612196</v>
      </c>
      <c r="X139"/>
      <c r="Y139"/>
      <c r="Z139" s="144"/>
      <c r="AB139"/>
      <c r="AC139"/>
      <c r="AD139" s="144"/>
      <c r="AF139" s="87"/>
    </row>
    <row r="140" spans="1:32" ht="13.2" x14ac:dyDescent="0.25">
      <c r="A140" s="40">
        <v>69121</v>
      </c>
      <c r="B140" s="110" t="s">
        <v>254</v>
      </c>
      <c r="C140" s="87"/>
      <c r="D140" s="87"/>
      <c r="E140" s="87"/>
      <c r="G140" s="16"/>
      <c r="H140" s="98"/>
      <c r="I140" s="85"/>
      <c r="J140">
        <v>335.4</v>
      </c>
      <c r="K140" s="87"/>
      <c r="L140" s="87"/>
      <c r="M140" s="87">
        <f t="shared" si="27"/>
        <v>335.4</v>
      </c>
      <c r="O140" s="16">
        <f>+M140</f>
        <v>335.4</v>
      </c>
      <c r="P140" s="195"/>
      <c r="R140" s="139">
        <f t="shared" si="35"/>
        <v>0</v>
      </c>
      <c r="X140"/>
      <c r="Y140"/>
      <c r="Z140"/>
      <c r="AB140"/>
      <c r="AC140"/>
      <c r="AD140"/>
      <c r="AF140" s="87"/>
    </row>
    <row r="141" spans="1:32" ht="13.2" x14ac:dyDescent="0.25">
      <c r="A141" s="40">
        <v>69131</v>
      </c>
      <c r="B141" s="110" t="s">
        <v>187</v>
      </c>
      <c r="C141" s="87">
        <v>31030.44</v>
      </c>
      <c r="D141" s="87"/>
      <c r="E141" s="87">
        <f t="shared" si="24"/>
        <v>31030.44</v>
      </c>
      <c r="G141" s="16">
        <f>+E141</f>
        <v>31030.44</v>
      </c>
      <c r="H141" s="98"/>
      <c r="I141" s="85"/>
      <c r="J141" s="144">
        <v>57098.35</v>
      </c>
      <c r="K141" s="87"/>
      <c r="L141" s="87"/>
      <c r="M141" s="87">
        <f t="shared" si="27"/>
        <v>57098.35</v>
      </c>
      <c r="O141" s="16">
        <f>+M141</f>
        <v>57098.35</v>
      </c>
      <c r="P141" s="195"/>
      <c r="R141" s="139">
        <f t="shared" si="35"/>
        <v>0</v>
      </c>
      <c r="X141"/>
      <c r="Y141"/>
      <c r="Z141" s="144"/>
      <c r="AB141"/>
      <c r="AC141"/>
      <c r="AD141" s="144"/>
      <c r="AF141" s="87"/>
    </row>
    <row r="142" spans="1:32" ht="13.2" x14ac:dyDescent="0.25">
      <c r="A142" s="40">
        <v>69132</v>
      </c>
      <c r="B142" s="110" t="s">
        <v>188</v>
      </c>
      <c r="C142" s="87">
        <v>22472.05</v>
      </c>
      <c r="D142" s="87"/>
      <c r="E142" s="87">
        <f t="shared" si="24"/>
        <v>22472.05</v>
      </c>
      <c r="G142" s="16">
        <f>+E142</f>
        <v>22472.05</v>
      </c>
      <c r="H142" s="98"/>
      <c r="I142" s="85"/>
      <c r="J142" s="144">
        <v>82184.62</v>
      </c>
      <c r="K142" s="87"/>
      <c r="L142" s="87"/>
      <c r="M142" s="87">
        <f t="shared" si="27"/>
        <v>82184.62</v>
      </c>
      <c r="O142" s="16">
        <f>+M142</f>
        <v>82184.62</v>
      </c>
      <c r="P142" s="195"/>
      <c r="R142" s="139">
        <f t="shared" si="35"/>
        <v>0</v>
      </c>
      <c r="V142" s="12">
        <v>-362</v>
      </c>
      <c r="W142" s="12" t="s">
        <v>289</v>
      </c>
      <c r="X142"/>
      <c r="Y142"/>
      <c r="Z142" s="144"/>
      <c r="AB142"/>
      <c r="AC142"/>
      <c r="AD142" s="144"/>
      <c r="AF142" s="87"/>
    </row>
    <row r="143" spans="1:32" ht="13.2" x14ac:dyDescent="0.25">
      <c r="A143" s="40">
        <v>69133</v>
      </c>
      <c r="B143" s="110" t="s">
        <v>255</v>
      </c>
      <c r="C143" s="87"/>
      <c r="D143" s="87"/>
      <c r="E143" s="87"/>
      <c r="G143" s="16"/>
      <c r="H143" s="98"/>
      <c r="I143" s="85"/>
      <c r="J143" s="144">
        <v>10000</v>
      </c>
      <c r="K143" s="87"/>
      <c r="L143" s="87"/>
      <c r="M143" s="87">
        <f t="shared" si="27"/>
        <v>10000</v>
      </c>
      <c r="O143" s="16">
        <f>+M143</f>
        <v>10000</v>
      </c>
      <c r="P143" s="195"/>
      <c r="R143" s="139">
        <f t="shared" si="35"/>
        <v>0</v>
      </c>
      <c r="V143" s="12">
        <v>94</v>
      </c>
      <c r="W143" s="12" t="s">
        <v>290</v>
      </c>
      <c r="X143"/>
      <c r="Y143"/>
      <c r="Z143" s="144"/>
      <c r="AB143"/>
      <c r="AC143"/>
      <c r="AD143" s="144"/>
      <c r="AF143" s="87"/>
    </row>
    <row r="144" spans="1:32" ht="13.2" x14ac:dyDescent="0.25">
      <c r="A144" s="40">
        <v>69199</v>
      </c>
      <c r="B144" s="110" t="s">
        <v>189</v>
      </c>
      <c r="C144" s="87">
        <v>112590.5</v>
      </c>
      <c r="D144" s="87"/>
      <c r="E144" s="87">
        <f t="shared" si="24"/>
        <v>112590.5</v>
      </c>
      <c r="G144" s="16">
        <f>+E144</f>
        <v>112590.5</v>
      </c>
      <c r="H144" s="98"/>
      <c r="I144" s="85"/>
      <c r="J144" s="144">
        <v>132990.45000000001</v>
      </c>
      <c r="K144" s="87"/>
      <c r="L144" s="87"/>
      <c r="M144" s="87">
        <f t="shared" si="27"/>
        <v>132990.45000000001</v>
      </c>
      <c r="O144" s="16">
        <f>+M144</f>
        <v>132990.45000000001</v>
      </c>
      <c r="P144" s="195"/>
      <c r="R144" s="139">
        <f t="shared" si="35"/>
        <v>0</v>
      </c>
      <c r="V144" s="12">
        <v>39</v>
      </c>
      <c r="W144" s="12" t="s">
        <v>291</v>
      </c>
      <c r="X144"/>
      <c r="Y144"/>
      <c r="Z144" s="144"/>
      <c r="AB144"/>
      <c r="AC144"/>
      <c r="AD144" s="144"/>
      <c r="AF144" s="87"/>
    </row>
    <row r="145" spans="1:32" ht="13.2" x14ac:dyDescent="0.25">
      <c r="A145" s="40">
        <v>70101</v>
      </c>
      <c r="B145" s="110" t="s">
        <v>190</v>
      </c>
      <c r="C145" s="87">
        <v>9930</v>
      </c>
      <c r="D145" s="87"/>
      <c r="E145" s="87">
        <f t="shared" si="24"/>
        <v>9930</v>
      </c>
      <c r="G145" s="16">
        <f t="shared" si="25"/>
        <v>8942.0663265306121</v>
      </c>
      <c r="H145" s="98">
        <f t="shared" si="26"/>
        <v>987.93367346938771</v>
      </c>
      <c r="I145" s="85"/>
      <c r="J145" s="144">
        <v>15875</v>
      </c>
      <c r="K145" s="87"/>
      <c r="L145" s="87"/>
      <c r="M145" s="87">
        <f t="shared" si="27"/>
        <v>15875</v>
      </c>
      <c r="O145" s="145">
        <f>+M145*$G$3+K145</f>
        <v>14295.599489795917</v>
      </c>
      <c r="P145" s="195">
        <f t="shared" ref="P145:P153" si="36">+M145*$H$3</f>
        <v>1579.4005102040817</v>
      </c>
      <c r="R145" s="139">
        <f t="shared" si="35"/>
        <v>591.46683673469397</v>
      </c>
      <c r="V145" s="12">
        <v>19</v>
      </c>
      <c r="W145" s="12" t="s">
        <v>292</v>
      </c>
      <c r="X145"/>
      <c r="Y145"/>
      <c r="Z145" s="144"/>
      <c r="AB145"/>
      <c r="AC145"/>
      <c r="AD145" s="144"/>
      <c r="AF145" s="87"/>
    </row>
    <row r="146" spans="1:32" ht="13.2" x14ac:dyDescent="0.25">
      <c r="A146" s="40">
        <v>70102</v>
      </c>
      <c r="B146" s="110" t="s">
        <v>190</v>
      </c>
      <c r="C146" s="87">
        <v>111671</v>
      </c>
      <c r="D146" s="87"/>
      <c r="E146" s="87">
        <f t="shared" si="24"/>
        <v>111671</v>
      </c>
      <c r="G146" s="16">
        <f t="shared" si="25"/>
        <v>100560.875</v>
      </c>
      <c r="H146" s="98">
        <f t="shared" si="26"/>
        <v>11110.125</v>
      </c>
      <c r="I146" s="85"/>
      <c r="J146" s="144">
        <v>140032</v>
      </c>
      <c r="K146" s="87"/>
      <c r="L146" s="87"/>
      <c r="M146" s="87">
        <f t="shared" si="27"/>
        <v>140032</v>
      </c>
      <c r="O146" s="145">
        <f>+M146*$G$3+K146</f>
        <v>126100.24489795919</v>
      </c>
      <c r="P146" s="195">
        <f t="shared" si="36"/>
        <v>13931.755102040815</v>
      </c>
      <c r="R146" s="139">
        <f t="shared" si="35"/>
        <v>2821.6301020408155</v>
      </c>
      <c r="V146" s="12">
        <v>-41</v>
      </c>
      <c r="W146" s="12" t="s">
        <v>293</v>
      </c>
      <c r="X146"/>
      <c r="Y146"/>
      <c r="Z146" s="144"/>
      <c r="AB146"/>
      <c r="AC146"/>
      <c r="AD146" s="144"/>
      <c r="AF146" s="87"/>
    </row>
    <row r="147" spans="1:32" ht="13.2" x14ac:dyDescent="0.25">
      <c r="A147" s="40">
        <v>70103</v>
      </c>
      <c r="B147" s="110" t="s">
        <v>191</v>
      </c>
      <c r="C147" s="87">
        <v>549996.67000000004</v>
      </c>
      <c r="D147" s="87"/>
      <c r="E147" s="87">
        <f t="shared" si="24"/>
        <v>549996.67000000004</v>
      </c>
      <c r="G147" s="16">
        <f t="shared" si="25"/>
        <v>495277.61354591837</v>
      </c>
      <c r="H147" s="98">
        <f t="shared" si="26"/>
        <v>54719.056454081634</v>
      </c>
      <c r="I147" s="85"/>
      <c r="J147" s="144">
        <v>867061.95</v>
      </c>
      <c r="K147" s="87"/>
      <c r="L147" s="87"/>
      <c r="M147" s="87">
        <f t="shared" si="27"/>
        <v>867061.95</v>
      </c>
      <c r="O147" s="145">
        <f>+M147*$G$3+K147</f>
        <v>780798.13354591827</v>
      </c>
      <c r="P147" s="195">
        <f t="shared" si="36"/>
        <v>86263.816454081621</v>
      </c>
      <c r="R147" s="139">
        <f t="shared" si="35"/>
        <v>31544.759999999987</v>
      </c>
      <c r="V147" s="12">
        <v>31</v>
      </c>
      <c r="W147" s="12" t="s">
        <v>294</v>
      </c>
      <c r="X147"/>
      <c r="Y147"/>
      <c r="Z147" s="144"/>
      <c r="AB147"/>
      <c r="AC147"/>
      <c r="AD147" s="144"/>
      <c r="AF147" s="87"/>
    </row>
    <row r="148" spans="1:32" ht="13.2" x14ac:dyDescent="0.25">
      <c r="A148" s="40">
        <v>70121</v>
      </c>
      <c r="B148" s="110" t="s">
        <v>192</v>
      </c>
      <c r="C148" s="87">
        <v>70205.98</v>
      </c>
      <c r="D148" s="87"/>
      <c r="E148" s="87">
        <f t="shared" si="24"/>
        <v>70205.98</v>
      </c>
      <c r="G148" s="16">
        <f t="shared" si="25"/>
        <v>63221.201377551013</v>
      </c>
      <c r="H148" s="98">
        <f t="shared" si="26"/>
        <v>6984.7786224489791</v>
      </c>
      <c r="I148" s="85"/>
      <c r="J148" s="144">
        <v>109162.8</v>
      </c>
      <c r="K148" s="87"/>
      <c r="L148" s="87"/>
      <c r="M148" s="87">
        <f t="shared" si="27"/>
        <v>109162.8</v>
      </c>
      <c r="O148" s="145">
        <f>+M148*$G$3+K148</f>
        <v>98302.215306122453</v>
      </c>
      <c r="P148" s="195">
        <f t="shared" si="36"/>
        <v>10860.584693877552</v>
      </c>
      <c r="R148" s="139">
        <f t="shared" si="35"/>
        <v>3875.806071428573</v>
      </c>
      <c r="V148" s="12">
        <v>-1</v>
      </c>
      <c r="W148" s="12" t="s">
        <v>295</v>
      </c>
      <c r="X148"/>
      <c r="Y148"/>
      <c r="Z148" s="144"/>
      <c r="AB148"/>
      <c r="AC148"/>
      <c r="AD148" s="144"/>
      <c r="AF148" s="87"/>
    </row>
    <row r="149" spans="1:32" ht="13.2" x14ac:dyDescent="0.25">
      <c r="A149" s="40">
        <v>70131</v>
      </c>
      <c r="B149" s="110" t="s">
        <v>193</v>
      </c>
      <c r="C149" s="87">
        <v>22739.26</v>
      </c>
      <c r="D149" s="87"/>
      <c r="E149" s="87">
        <f t="shared" si="24"/>
        <v>22739.26</v>
      </c>
      <c r="G149" s="16">
        <f t="shared" si="25"/>
        <v>20476.935663265303</v>
      </c>
      <c r="H149" s="98">
        <f t="shared" si="26"/>
        <v>2262.3243367346936</v>
      </c>
      <c r="I149" s="85"/>
      <c r="J149" s="144">
        <v>34168.550000000003</v>
      </c>
      <c r="K149" s="87"/>
      <c r="L149" s="87"/>
      <c r="M149" s="87">
        <f t="shared" si="27"/>
        <v>34168.550000000003</v>
      </c>
      <c r="O149" s="145">
        <f>+M149*$G$3+K149</f>
        <v>30769.12793367347</v>
      </c>
      <c r="P149" s="195">
        <f t="shared" si="36"/>
        <v>3399.422066326531</v>
      </c>
      <c r="R149" s="139">
        <f t="shared" si="35"/>
        <v>1137.0977295918374</v>
      </c>
      <c r="V149" s="12">
        <v>79</v>
      </c>
      <c r="W149" s="12" t="s">
        <v>296</v>
      </c>
      <c r="X149"/>
      <c r="Y149"/>
      <c r="Z149" s="144"/>
      <c r="AB149"/>
      <c r="AC149"/>
      <c r="AD149" s="144"/>
      <c r="AF149" s="87"/>
    </row>
    <row r="150" spans="1:32" ht="13.2" x14ac:dyDescent="0.25">
      <c r="A150" s="40">
        <v>70199</v>
      </c>
      <c r="B150" s="110" t="s">
        <v>256</v>
      </c>
      <c r="C150" s="87"/>
      <c r="D150" s="87"/>
      <c r="E150" s="87"/>
      <c r="G150" s="16"/>
      <c r="H150" s="98"/>
      <c r="I150" s="85"/>
      <c r="J150" s="144">
        <v>2497.04</v>
      </c>
      <c r="K150" s="87"/>
      <c r="L150" s="87"/>
      <c r="M150" s="87">
        <f t="shared" si="27"/>
        <v>2497.04</v>
      </c>
      <c r="O150" s="16">
        <f>+M150</f>
        <v>2497.04</v>
      </c>
      <c r="P150" s="195"/>
      <c r="R150" s="139">
        <f t="shared" si="35"/>
        <v>0</v>
      </c>
      <c r="V150" s="12">
        <v>-1</v>
      </c>
      <c r="W150" s="12" t="s">
        <v>297</v>
      </c>
      <c r="X150"/>
      <c r="Y150"/>
      <c r="Z150" s="144"/>
      <c r="AB150"/>
      <c r="AC150"/>
      <c r="AD150" s="144"/>
      <c r="AF150" s="87"/>
    </row>
    <row r="151" spans="1:32" ht="13.2" x14ac:dyDescent="0.25">
      <c r="A151" s="40">
        <v>70201</v>
      </c>
      <c r="B151" s="110" t="s">
        <v>194</v>
      </c>
      <c r="C151" s="87">
        <v>51482.43</v>
      </c>
      <c r="D151" s="87"/>
      <c r="E151" s="87">
        <f t="shared" si="24"/>
        <v>51482.43</v>
      </c>
      <c r="G151" s="16">
        <f t="shared" si="25"/>
        <v>46360.453545918368</v>
      </c>
      <c r="H151" s="98">
        <f t="shared" si="26"/>
        <v>5121.9764540816323</v>
      </c>
      <c r="I151" s="85"/>
      <c r="J151" s="144">
        <v>84397.59</v>
      </c>
      <c r="K151" s="87"/>
      <c r="L151" s="87"/>
      <c r="M151" s="87">
        <f t="shared" si="27"/>
        <v>84397.59</v>
      </c>
      <c r="O151" s="145">
        <f>+M151*$G$3+K151</f>
        <v>76000.890994897956</v>
      </c>
      <c r="P151" s="195">
        <f t="shared" si="36"/>
        <v>8396.6990051020402</v>
      </c>
      <c r="R151" s="139">
        <f t="shared" si="35"/>
        <v>3274.722551020408</v>
      </c>
      <c r="V151" s="12">
        <f>669-232</f>
        <v>437</v>
      </c>
      <c r="W151" s="12" t="s">
        <v>298</v>
      </c>
      <c r="X151"/>
      <c r="Y151"/>
      <c r="Z151" s="144"/>
      <c r="AB151"/>
      <c r="AC151"/>
      <c r="AD151" s="144"/>
      <c r="AF151" s="87"/>
    </row>
    <row r="152" spans="1:32" ht="13.2" x14ac:dyDescent="0.25">
      <c r="A152" s="40">
        <v>70203</v>
      </c>
      <c r="B152" s="110" t="s">
        <v>195</v>
      </c>
      <c r="C152" s="87">
        <v>173145.44</v>
      </c>
      <c r="D152" s="87"/>
      <c r="E152" s="87">
        <f t="shared" si="24"/>
        <v>173145.44</v>
      </c>
      <c r="G152" s="16">
        <f t="shared" si="25"/>
        <v>155919.23551020407</v>
      </c>
      <c r="H152" s="98">
        <f t="shared" si="26"/>
        <v>17226.204489795917</v>
      </c>
      <c r="I152" s="85"/>
      <c r="J152" s="144">
        <v>268794.96000000002</v>
      </c>
      <c r="K152" s="87"/>
      <c r="L152" s="87"/>
      <c r="M152" s="87">
        <f t="shared" si="27"/>
        <v>268794.96000000002</v>
      </c>
      <c r="O152" s="145">
        <f>+M152*$G$3+K152</f>
        <v>242052.6042857143</v>
      </c>
      <c r="P152" s="195">
        <f t="shared" si="36"/>
        <v>26742.355714285717</v>
      </c>
      <c r="R152" s="139">
        <f t="shared" si="35"/>
        <v>9516.1512244898004</v>
      </c>
      <c r="X152"/>
      <c r="Y152"/>
      <c r="Z152" s="144"/>
      <c r="AB152"/>
      <c r="AC152"/>
      <c r="AD152" s="144"/>
      <c r="AF152" s="87"/>
    </row>
    <row r="153" spans="1:32" ht="13.2" x14ac:dyDescent="0.25">
      <c r="A153" s="40">
        <v>70301</v>
      </c>
      <c r="B153" s="110" t="s">
        <v>196</v>
      </c>
      <c r="C153" s="87">
        <v>15052.99</v>
      </c>
      <c r="D153" s="87"/>
      <c r="E153" s="87">
        <f t="shared" si="24"/>
        <v>15052.99</v>
      </c>
      <c r="G153" s="16">
        <f t="shared" si="25"/>
        <v>13555.371096938776</v>
      </c>
      <c r="H153" s="98">
        <f t="shared" si="26"/>
        <v>1497.6189030612245</v>
      </c>
      <c r="I153" s="85"/>
      <c r="J153" s="144">
        <v>37145.870000000003</v>
      </c>
      <c r="K153" s="87"/>
      <c r="L153" s="87"/>
      <c r="M153" s="87">
        <f t="shared" si="27"/>
        <v>37145.870000000003</v>
      </c>
      <c r="O153" s="145">
        <f>+M153*$G$3+K153</f>
        <v>33450.234974489795</v>
      </c>
      <c r="P153" s="195">
        <f t="shared" si="36"/>
        <v>3695.6350255102043</v>
      </c>
      <c r="R153" s="139">
        <f t="shared" si="35"/>
        <v>2198.0161224489798</v>
      </c>
      <c r="X153"/>
      <c r="Y153"/>
      <c r="Z153" s="144"/>
      <c r="AB153"/>
      <c r="AC153"/>
      <c r="AD153" s="144"/>
      <c r="AF153" s="87"/>
    </row>
    <row r="154" spans="1:32" ht="13.2" x14ac:dyDescent="0.25">
      <c r="A154" s="40">
        <v>73101</v>
      </c>
      <c r="B154" s="110" t="s">
        <v>197</v>
      </c>
      <c r="C154" s="87">
        <v>58211.56</v>
      </c>
      <c r="D154" s="87"/>
      <c r="E154" s="87">
        <f t="shared" si="24"/>
        <v>58211.56</v>
      </c>
      <c r="G154" s="16">
        <f>+E154</f>
        <v>58211.56</v>
      </c>
      <c r="H154" s="98"/>
      <c r="I154" s="85"/>
      <c r="J154" s="144">
        <v>67801.64</v>
      </c>
      <c r="K154" s="87"/>
      <c r="L154" s="87"/>
      <c r="M154" s="87">
        <f t="shared" si="27"/>
        <v>67801.64</v>
      </c>
      <c r="O154" s="16">
        <f>+M154</f>
        <v>67801.64</v>
      </c>
      <c r="P154" s="98"/>
      <c r="R154" s="139">
        <f t="shared" si="35"/>
        <v>0</v>
      </c>
      <c r="V154" s="12">
        <f>SUM(V142:V153)</f>
        <v>294</v>
      </c>
      <c r="X154"/>
      <c r="Y154"/>
      <c r="Z154" s="144"/>
      <c r="AB154"/>
      <c r="AC154"/>
      <c r="AD154" s="144"/>
      <c r="AF154" s="87"/>
    </row>
    <row r="155" spans="1:32" ht="13.2" x14ac:dyDescent="0.25">
      <c r="A155" s="40">
        <v>73111</v>
      </c>
      <c r="B155" s="110" t="s">
        <v>198</v>
      </c>
      <c r="C155" s="87">
        <v>960</v>
      </c>
      <c r="D155" s="87"/>
      <c r="E155" s="87">
        <f t="shared" si="24"/>
        <v>960</v>
      </c>
      <c r="G155" s="16">
        <f>+E155</f>
        <v>960</v>
      </c>
      <c r="H155" s="98"/>
      <c r="I155" s="85"/>
      <c r="J155">
        <v>960</v>
      </c>
      <c r="K155" s="87"/>
      <c r="L155" s="87"/>
      <c r="M155" s="87">
        <f t="shared" si="27"/>
        <v>960</v>
      </c>
      <c r="O155" s="16">
        <f>+M155</f>
        <v>960</v>
      </c>
      <c r="P155" s="98"/>
      <c r="R155" s="139">
        <f t="shared" si="35"/>
        <v>0</v>
      </c>
      <c r="X155"/>
      <c r="Y155"/>
      <c r="Z155"/>
      <c r="AB155"/>
      <c r="AC155"/>
      <c r="AD155"/>
      <c r="AF155" s="87"/>
    </row>
    <row r="156" spans="1:32" ht="13.2" x14ac:dyDescent="0.25">
      <c r="A156" s="40">
        <v>73112</v>
      </c>
      <c r="B156" s="110" t="s">
        <v>199</v>
      </c>
      <c r="C156" s="87">
        <v>43474</v>
      </c>
      <c r="D156" s="87"/>
      <c r="E156" s="87">
        <f t="shared" si="24"/>
        <v>43474</v>
      </c>
      <c r="G156" s="16">
        <f>+E156</f>
        <v>43474</v>
      </c>
      <c r="H156" s="98"/>
      <c r="I156" s="85"/>
      <c r="J156" s="144">
        <v>43474</v>
      </c>
      <c r="K156" s="87"/>
      <c r="L156" s="87"/>
      <c r="M156" s="87">
        <f t="shared" ref="M156:M172" si="37">+J156-K156-L156</f>
        <v>43474</v>
      </c>
      <c r="O156" s="16">
        <f t="shared" ref="O156:O171" si="38">+M156</f>
        <v>43474</v>
      </c>
      <c r="P156" s="98"/>
      <c r="R156" s="139">
        <f t="shared" ref="R156:R172" si="39">+P156-H156</f>
        <v>0</v>
      </c>
      <c r="X156"/>
      <c r="Y156"/>
      <c r="Z156" s="144"/>
      <c r="AB156"/>
      <c r="AC156"/>
      <c r="AD156" s="144"/>
      <c r="AF156" s="87"/>
    </row>
    <row r="157" spans="1:32" ht="13.2" x14ac:dyDescent="0.25">
      <c r="A157" s="40">
        <v>73180</v>
      </c>
      <c r="B157" s="110" t="s">
        <v>200</v>
      </c>
      <c r="C157" s="87">
        <v>960000</v>
      </c>
      <c r="D157" s="87"/>
      <c r="E157" s="87">
        <f t="shared" si="24"/>
        <v>960000</v>
      </c>
      <c r="G157" s="16">
        <f>+E157</f>
        <v>960000</v>
      </c>
      <c r="H157" s="98"/>
      <c r="I157" s="85"/>
      <c r="J157" s="144">
        <v>1350000</v>
      </c>
      <c r="K157" s="87"/>
      <c r="L157" s="87"/>
      <c r="M157" s="87">
        <f t="shared" si="37"/>
        <v>1350000</v>
      </c>
      <c r="O157" s="16">
        <f t="shared" si="38"/>
        <v>1350000</v>
      </c>
      <c r="P157" s="98"/>
      <c r="R157" s="139">
        <f t="shared" si="39"/>
        <v>0</v>
      </c>
      <c r="X157"/>
      <c r="Y157"/>
      <c r="Z157" s="144"/>
      <c r="AB157"/>
      <c r="AC157"/>
      <c r="AD157" s="144"/>
      <c r="AF157" s="87"/>
    </row>
    <row r="158" spans="1:32" ht="13.2" x14ac:dyDescent="0.25">
      <c r="A158" s="40">
        <v>73201</v>
      </c>
      <c r="B158" s="110" t="s">
        <v>201</v>
      </c>
      <c r="C158" s="87">
        <v>211723.6</v>
      </c>
      <c r="D158" s="87"/>
      <c r="E158" s="87">
        <f t="shared" si="24"/>
        <v>211723.6</v>
      </c>
      <c r="G158" s="16">
        <f>+E158</f>
        <v>211723.6</v>
      </c>
      <c r="H158" s="98"/>
      <c r="I158" s="85"/>
      <c r="J158" s="144">
        <v>596342.1</v>
      </c>
      <c r="K158" s="87"/>
      <c r="L158" s="87"/>
      <c r="M158" s="87">
        <f t="shared" si="37"/>
        <v>596342.1</v>
      </c>
      <c r="O158" s="16">
        <f t="shared" si="38"/>
        <v>596342.1</v>
      </c>
      <c r="P158" s="98"/>
      <c r="R158" s="139">
        <f t="shared" si="39"/>
        <v>0</v>
      </c>
      <c r="X158"/>
      <c r="Y158"/>
      <c r="Z158" s="144"/>
      <c r="AB158"/>
      <c r="AC158"/>
      <c r="AD158" s="144"/>
      <c r="AF158" s="87"/>
    </row>
    <row r="159" spans="1:32" ht="13.2" x14ac:dyDescent="0.25">
      <c r="A159" s="40">
        <v>73205</v>
      </c>
      <c r="B159" s="110" t="s">
        <v>202</v>
      </c>
      <c r="C159" s="87">
        <v>1167.2</v>
      </c>
      <c r="D159" s="87"/>
      <c r="E159" s="87">
        <f t="shared" si="24"/>
        <v>1167.2</v>
      </c>
      <c r="G159" s="16">
        <f t="shared" ref="G159:G164" si="40">+E159</f>
        <v>1167.2</v>
      </c>
      <c r="H159" s="98"/>
      <c r="I159" s="85"/>
      <c r="J159" s="144">
        <v>1167.2</v>
      </c>
      <c r="K159" s="87"/>
      <c r="L159" s="87"/>
      <c r="M159" s="87">
        <f t="shared" si="37"/>
        <v>1167.2</v>
      </c>
      <c r="O159" s="16">
        <f t="shared" si="38"/>
        <v>1167.2</v>
      </c>
      <c r="P159" s="98"/>
      <c r="R159" s="139">
        <f t="shared" si="39"/>
        <v>0</v>
      </c>
      <c r="X159"/>
      <c r="Y159"/>
      <c r="Z159" s="144"/>
      <c r="AB159"/>
      <c r="AC159"/>
      <c r="AD159" s="144"/>
      <c r="AF159" s="87"/>
    </row>
    <row r="160" spans="1:32" ht="13.2" x14ac:dyDescent="0.25">
      <c r="A160" s="40">
        <v>73219</v>
      </c>
      <c r="B160" s="110" t="s">
        <v>203</v>
      </c>
      <c r="C160" s="87">
        <v>190891.6</v>
      </c>
      <c r="D160" s="87"/>
      <c r="E160" s="87">
        <f t="shared" si="24"/>
        <v>190891.6</v>
      </c>
      <c r="G160" s="16">
        <f t="shared" si="40"/>
        <v>190891.6</v>
      </c>
      <c r="H160" s="98"/>
      <c r="I160" s="85"/>
      <c r="J160" s="144">
        <v>231647.2</v>
      </c>
      <c r="K160" s="87"/>
      <c r="L160" s="87"/>
      <c r="M160" s="87">
        <f t="shared" si="37"/>
        <v>231647.2</v>
      </c>
      <c r="O160" s="16">
        <f t="shared" si="38"/>
        <v>231647.2</v>
      </c>
      <c r="P160" s="98"/>
      <c r="R160" s="139">
        <f t="shared" si="39"/>
        <v>0</v>
      </c>
      <c r="X160"/>
      <c r="Y160"/>
      <c r="Z160" s="144"/>
      <c r="AB160"/>
      <c r="AC160"/>
      <c r="AD160" s="144"/>
      <c r="AF160" s="87"/>
    </row>
    <row r="161" spans="1:32" ht="13.2" x14ac:dyDescent="0.25">
      <c r="A161" s="40">
        <v>73234</v>
      </c>
      <c r="B161" s="110" t="s">
        <v>204</v>
      </c>
      <c r="C161" s="87">
        <v>3000</v>
      </c>
      <c r="D161" s="87"/>
      <c r="E161" s="87">
        <f t="shared" si="24"/>
        <v>3000</v>
      </c>
      <c r="G161" s="16">
        <f t="shared" si="40"/>
        <v>3000</v>
      </c>
      <c r="H161" s="98"/>
      <c r="I161" s="85"/>
      <c r="J161" s="144">
        <v>76120</v>
      </c>
      <c r="K161" s="87"/>
      <c r="L161" s="87"/>
      <c r="M161" s="87">
        <f t="shared" si="37"/>
        <v>76120</v>
      </c>
      <c r="O161" s="16">
        <f t="shared" si="38"/>
        <v>76120</v>
      </c>
      <c r="P161" s="98"/>
      <c r="R161" s="139">
        <f t="shared" si="39"/>
        <v>0</v>
      </c>
      <c r="X161"/>
      <c r="Y161"/>
      <c r="Z161" s="144"/>
      <c r="AB161"/>
      <c r="AC161"/>
      <c r="AD161" s="144"/>
      <c r="AF161" s="87"/>
    </row>
    <row r="162" spans="1:32" ht="13.2" x14ac:dyDescent="0.25">
      <c r="A162" s="40">
        <v>73329</v>
      </c>
      <c r="B162" s="110" t="s">
        <v>205</v>
      </c>
      <c r="C162" s="87">
        <v>4027.62</v>
      </c>
      <c r="D162" s="87"/>
      <c r="E162" s="87">
        <f t="shared" si="24"/>
        <v>4027.62</v>
      </c>
      <c r="G162" s="16">
        <f t="shared" si="40"/>
        <v>4027.62</v>
      </c>
      <c r="H162" s="98"/>
      <c r="I162" s="85"/>
      <c r="J162" s="144">
        <v>15877.62</v>
      </c>
      <c r="K162" s="87"/>
      <c r="L162" s="87"/>
      <c r="M162" s="87">
        <f t="shared" si="37"/>
        <v>15877.62</v>
      </c>
      <c r="O162" s="16">
        <f t="shared" si="38"/>
        <v>15877.62</v>
      </c>
      <c r="P162" s="98"/>
      <c r="R162" s="139">
        <f t="shared" si="39"/>
        <v>0</v>
      </c>
      <c r="X162"/>
      <c r="Y162"/>
      <c r="Z162" s="144"/>
      <c r="AB162"/>
      <c r="AC162"/>
      <c r="AD162" s="144"/>
      <c r="AF162" s="87"/>
    </row>
    <row r="163" spans="1:32" ht="13.2" x14ac:dyDescent="0.25">
      <c r="A163" s="40">
        <v>73401</v>
      </c>
      <c r="B163" s="110" t="s">
        <v>46</v>
      </c>
      <c r="C163" s="87">
        <v>391704.8</v>
      </c>
      <c r="D163" s="87"/>
      <c r="E163" s="87">
        <f t="shared" si="24"/>
        <v>391704.8</v>
      </c>
      <c r="G163" s="16">
        <f t="shared" si="40"/>
        <v>391704.8</v>
      </c>
      <c r="H163" s="98"/>
      <c r="I163" s="85"/>
      <c r="J163" s="144">
        <v>468469.6</v>
      </c>
      <c r="K163" s="87"/>
      <c r="L163" s="87"/>
      <c r="M163" s="87">
        <f t="shared" si="37"/>
        <v>468469.6</v>
      </c>
      <c r="O163" s="16">
        <f t="shared" si="38"/>
        <v>468469.6</v>
      </c>
      <c r="P163" s="98"/>
      <c r="R163" s="139">
        <f t="shared" si="39"/>
        <v>0</v>
      </c>
      <c r="X163"/>
      <c r="Y163"/>
      <c r="Z163" s="144"/>
      <c r="AB163"/>
      <c r="AC163"/>
      <c r="AD163" s="144"/>
      <c r="AF163" s="87"/>
    </row>
    <row r="164" spans="1:32" ht="13.2" x14ac:dyDescent="0.25">
      <c r="A164" s="40">
        <v>73503</v>
      </c>
      <c r="B164" s="110" t="s">
        <v>206</v>
      </c>
      <c r="C164" s="87">
        <v>77562.570000000007</v>
      </c>
      <c r="D164" s="87"/>
      <c r="E164" s="87">
        <f t="shared" si="24"/>
        <v>77562.570000000007</v>
      </c>
      <c r="G164" s="16">
        <f t="shared" si="40"/>
        <v>77562.570000000007</v>
      </c>
      <c r="H164" s="98"/>
      <c r="I164" s="85"/>
      <c r="J164" s="144">
        <v>96961.61</v>
      </c>
      <c r="K164" s="87"/>
      <c r="L164" s="87"/>
      <c r="M164" s="87">
        <f t="shared" si="37"/>
        <v>96961.61</v>
      </c>
      <c r="O164" s="16">
        <f t="shared" si="38"/>
        <v>96961.61</v>
      </c>
      <c r="P164" s="98"/>
      <c r="R164" s="139">
        <f t="shared" si="39"/>
        <v>0</v>
      </c>
      <c r="X164"/>
      <c r="Y164"/>
      <c r="Z164" s="144"/>
      <c r="AB164"/>
      <c r="AC164"/>
      <c r="AD164" s="144"/>
      <c r="AF164" s="87"/>
    </row>
    <row r="165" spans="1:32" ht="13.2" x14ac:dyDescent="0.25">
      <c r="A165" s="40">
        <v>74101</v>
      </c>
      <c r="B165" s="110" t="s">
        <v>207</v>
      </c>
      <c r="C165" s="87">
        <v>103140.75</v>
      </c>
      <c r="D165" s="87"/>
      <c r="E165" s="87">
        <f t="shared" ref="E165:E172" si="41">+C165-D165</f>
        <v>103140.75</v>
      </c>
      <c r="G165" s="16">
        <f>+E165</f>
        <v>103140.75</v>
      </c>
      <c r="H165" s="98"/>
      <c r="I165" s="85"/>
      <c r="J165" s="144">
        <v>202709.75</v>
      </c>
      <c r="K165" s="87"/>
      <c r="L165" s="87"/>
      <c r="M165" s="87">
        <f t="shared" si="37"/>
        <v>202709.75</v>
      </c>
      <c r="O165" s="16">
        <f t="shared" si="38"/>
        <v>202709.75</v>
      </c>
      <c r="P165" s="98"/>
      <c r="R165" s="139">
        <f t="shared" si="39"/>
        <v>0</v>
      </c>
      <c r="X165"/>
      <c r="Y165"/>
      <c r="Z165" s="144"/>
      <c r="AB165"/>
      <c r="AC165"/>
      <c r="AD165" s="144"/>
      <c r="AF165" s="87"/>
    </row>
    <row r="166" spans="1:32" ht="13.2" x14ac:dyDescent="0.25">
      <c r="A166" s="40">
        <v>74103</v>
      </c>
      <c r="B166" s="110" t="s">
        <v>208</v>
      </c>
      <c r="C166" s="87">
        <v>33925</v>
      </c>
      <c r="D166" s="87"/>
      <c r="E166" s="87">
        <f t="shared" si="41"/>
        <v>33925</v>
      </c>
      <c r="G166" s="16">
        <f>+E166</f>
        <v>33925</v>
      </c>
      <c r="H166" s="98"/>
      <c r="I166" s="85"/>
      <c r="J166" s="144">
        <v>45485</v>
      </c>
      <c r="K166" s="87"/>
      <c r="L166" s="87"/>
      <c r="M166" s="87">
        <f t="shared" si="37"/>
        <v>45485</v>
      </c>
      <c r="O166" s="16">
        <f t="shared" si="38"/>
        <v>45485</v>
      </c>
      <c r="P166" s="98"/>
      <c r="R166" s="139">
        <f t="shared" si="39"/>
        <v>0</v>
      </c>
      <c r="X166"/>
      <c r="Y166"/>
      <c r="Z166" s="144"/>
      <c r="AA166" s="15"/>
      <c r="AB166"/>
      <c r="AC166"/>
      <c r="AD166" s="144"/>
      <c r="AF166" s="87"/>
    </row>
    <row r="167" spans="1:32" s="15" customFormat="1" ht="13.2" x14ac:dyDescent="0.25">
      <c r="A167" s="117">
        <v>75199</v>
      </c>
      <c r="B167" s="15" t="s">
        <v>209</v>
      </c>
      <c r="C167" s="118">
        <v>147471.98000000001</v>
      </c>
      <c r="D167" s="118">
        <f>+C167*0.7</f>
        <v>103230.386</v>
      </c>
      <c r="E167" s="118">
        <f t="shared" si="41"/>
        <v>44241.594000000012</v>
      </c>
      <c r="G167" s="16">
        <f>+E167*$G$3+D167</f>
        <v>143070.39284183673</v>
      </c>
      <c r="H167" s="98">
        <f>+E167*$H$3</f>
        <v>4401.5871581632664</v>
      </c>
      <c r="I167" s="122"/>
      <c r="J167" s="144">
        <v>219036.51</v>
      </c>
      <c r="K167" s="118">
        <f>+J167*0.7</f>
        <v>153325.557</v>
      </c>
      <c r="L167" s="118"/>
      <c r="M167" s="87">
        <f t="shared" si="37"/>
        <v>65710.953000000009</v>
      </c>
      <c r="O167" s="145">
        <f>+M167*$G$3+K167</f>
        <v>212498.94069642859</v>
      </c>
      <c r="P167" s="213">
        <f>+M167*$H$3</f>
        <v>6537.5693035714294</v>
      </c>
      <c r="Q167" s="137"/>
      <c r="R167" s="139">
        <f t="shared" si="39"/>
        <v>2135.982145408163</v>
      </c>
      <c r="X167"/>
      <c r="Y167"/>
      <c r="Z167" s="144"/>
      <c r="AA167" s="12"/>
      <c r="AB167"/>
      <c r="AC167"/>
      <c r="AD167" s="144"/>
      <c r="AE167" s="12"/>
      <c r="AF167" s="87"/>
    </row>
    <row r="168" spans="1:32" ht="13.2" x14ac:dyDescent="0.25">
      <c r="A168" s="40">
        <v>77103</v>
      </c>
      <c r="B168" s="110" t="s">
        <v>210</v>
      </c>
      <c r="C168" s="87">
        <v>-69553.039999999994</v>
      </c>
      <c r="D168" s="87"/>
      <c r="E168" s="87">
        <f t="shared" si="41"/>
        <v>-69553.039999999994</v>
      </c>
      <c r="G168" s="16">
        <f>+E168</f>
        <v>-69553.039999999994</v>
      </c>
      <c r="H168" s="98"/>
      <c r="I168" s="85"/>
      <c r="J168" s="144">
        <v>-75842.14</v>
      </c>
      <c r="K168" s="87"/>
      <c r="L168" s="87"/>
      <c r="M168" s="87">
        <f t="shared" si="37"/>
        <v>-75842.14</v>
      </c>
      <c r="O168" s="16">
        <f t="shared" si="38"/>
        <v>-75842.14</v>
      </c>
      <c r="P168" s="98"/>
      <c r="R168" s="139">
        <f t="shared" si="39"/>
        <v>0</v>
      </c>
      <c r="X168"/>
      <c r="Y168"/>
      <c r="Z168" s="144"/>
      <c r="AB168"/>
      <c r="AC168"/>
      <c r="AD168" s="144"/>
      <c r="AF168" s="87"/>
    </row>
    <row r="169" spans="1:32" ht="13.2" x14ac:dyDescent="0.25">
      <c r="A169" s="40">
        <v>77111</v>
      </c>
      <c r="B169" s="110" t="s">
        <v>211</v>
      </c>
      <c r="C169" s="87">
        <v>166666.67000000001</v>
      </c>
      <c r="D169" s="87"/>
      <c r="E169" s="87">
        <f t="shared" si="41"/>
        <v>166666.67000000001</v>
      </c>
      <c r="G169" s="16">
        <f>+E169*$G$3</f>
        <v>150085.03701530612</v>
      </c>
      <c r="H169" s="98">
        <f>+E169*$H$3</f>
        <v>16581.632984693879</v>
      </c>
      <c r="I169" s="85"/>
      <c r="J169" s="144">
        <v>250000</v>
      </c>
      <c r="K169" s="87"/>
      <c r="L169" s="87"/>
      <c r="M169" s="87">
        <f t="shared" si="37"/>
        <v>250000</v>
      </c>
      <c r="O169" s="16">
        <f t="shared" si="38"/>
        <v>250000</v>
      </c>
      <c r="P169" s="98"/>
      <c r="R169" s="139">
        <f t="shared" si="39"/>
        <v>-16581.632984693879</v>
      </c>
      <c r="X169"/>
      <c r="Y169"/>
      <c r="Z169" s="144"/>
      <c r="AB169"/>
      <c r="AC169"/>
      <c r="AD169" s="144"/>
      <c r="AF169" s="87"/>
    </row>
    <row r="170" spans="1:32" ht="13.2" x14ac:dyDescent="0.25">
      <c r="A170" s="40">
        <v>77501</v>
      </c>
      <c r="B170" s="110" t="s">
        <v>212</v>
      </c>
      <c r="C170" s="87">
        <v>12822.09</v>
      </c>
      <c r="D170" s="87"/>
      <c r="E170" s="87">
        <f t="shared" si="41"/>
        <v>12822.09</v>
      </c>
      <c r="G170" s="16">
        <f>+E170</f>
        <v>12822.09</v>
      </c>
      <c r="H170" s="98"/>
      <c r="I170" s="85"/>
      <c r="J170" s="144">
        <v>23069.22</v>
      </c>
      <c r="K170" s="87"/>
      <c r="L170" s="87"/>
      <c r="M170" s="87">
        <f t="shared" si="37"/>
        <v>23069.22</v>
      </c>
      <c r="O170" s="16">
        <f t="shared" si="38"/>
        <v>23069.22</v>
      </c>
      <c r="P170" s="98"/>
      <c r="R170" s="139">
        <f t="shared" si="39"/>
        <v>0</v>
      </c>
      <c r="X170"/>
      <c r="Y170"/>
      <c r="Z170" s="144"/>
      <c r="AB170"/>
      <c r="AC170"/>
      <c r="AD170" s="144"/>
      <c r="AF170" s="87"/>
    </row>
    <row r="171" spans="1:32" ht="13.2" x14ac:dyDescent="0.25">
      <c r="A171" s="40">
        <v>77513</v>
      </c>
      <c r="B171" s="110" t="s">
        <v>213</v>
      </c>
      <c r="C171" s="87">
        <v>-50</v>
      </c>
      <c r="D171" s="87"/>
      <c r="E171" s="87">
        <f t="shared" si="41"/>
        <v>-50</v>
      </c>
      <c r="G171" s="16">
        <f>+E171</f>
        <v>-50</v>
      </c>
      <c r="H171" s="98"/>
      <c r="I171" s="85"/>
      <c r="J171" s="144">
        <v>-1550</v>
      </c>
      <c r="K171" s="87"/>
      <c r="L171" s="87"/>
      <c r="M171" s="87">
        <f t="shared" si="37"/>
        <v>-1550</v>
      </c>
      <c r="O171" s="16">
        <f t="shared" si="38"/>
        <v>-1550</v>
      </c>
      <c r="P171" s="98"/>
      <c r="R171" s="139">
        <f t="shared" si="39"/>
        <v>0</v>
      </c>
      <c r="X171"/>
      <c r="Y171"/>
      <c r="Z171" s="144"/>
      <c r="AB171"/>
      <c r="AC171"/>
      <c r="AD171" s="144"/>
      <c r="AF171" s="87"/>
    </row>
    <row r="172" spans="1:32" ht="13.2" x14ac:dyDescent="0.25">
      <c r="A172" s="40">
        <v>77901</v>
      </c>
      <c r="B172" s="110" t="s">
        <v>214</v>
      </c>
      <c r="C172" s="87">
        <v>8.86</v>
      </c>
      <c r="D172" s="87"/>
      <c r="E172" s="87">
        <f t="shared" si="41"/>
        <v>8.86</v>
      </c>
      <c r="G172" s="16">
        <f>+E172</f>
        <v>8.86</v>
      </c>
      <c r="H172" s="98"/>
      <c r="I172" s="85"/>
      <c r="J172">
        <v>15.53</v>
      </c>
      <c r="K172" s="87"/>
      <c r="L172" s="87"/>
      <c r="M172" s="87">
        <f t="shared" si="37"/>
        <v>15.53</v>
      </c>
      <c r="O172" s="16">
        <f>+M172</f>
        <v>15.53</v>
      </c>
      <c r="P172" s="98"/>
      <c r="R172" s="139">
        <f t="shared" si="39"/>
        <v>0</v>
      </c>
      <c r="X172"/>
      <c r="Y172"/>
      <c r="Z172"/>
      <c r="AB172"/>
      <c r="AC172"/>
      <c r="AD172"/>
      <c r="AF172" s="87"/>
    </row>
    <row r="173" spans="1:32" x14ac:dyDescent="0.2">
      <c r="G173" s="16"/>
      <c r="H173" s="16"/>
      <c r="I173" s="74"/>
      <c r="O173" s="16"/>
      <c r="P173" s="16"/>
      <c r="R173" s="20"/>
      <c r="AF173" s="87"/>
    </row>
    <row r="174" spans="1:32" x14ac:dyDescent="0.2">
      <c r="B174" s="18" t="s">
        <v>42</v>
      </c>
      <c r="C174" s="19">
        <f>SUM(C5:C172)</f>
        <v>45428003.800000004</v>
      </c>
      <c r="D174" s="19">
        <f>SUM(D12:D172)</f>
        <v>444342.87099999998</v>
      </c>
      <c r="E174" s="19">
        <f>SUM(E5:E172)</f>
        <v>44983660.928999998</v>
      </c>
      <c r="F174" s="19"/>
      <c r="G174" s="19">
        <f>SUM(G5:G172)</f>
        <v>45000047.737982169</v>
      </c>
      <c r="H174" s="19">
        <f>SUM(H5:H172)</f>
        <v>426846.94811310415</v>
      </c>
      <c r="I174" s="74"/>
      <c r="J174" s="19">
        <f>SUM(J5:J172)</f>
        <v>69387278.25</v>
      </c>
      <c r="K174" s="19">
        <f>SUM(K12:K172)</f>
        <v>679990.82700000005</v>
      </c>
      <c r="L174" s="19">
        <f>SUM(L12:L172)</f>
        <v>1272342</v>
      </c>
      <c r="M174" s="19">
        <f>SUM(M5:M172)</f>
        <v>67434945.423000008</v>
      </c>
      <c r="N174" s="19"/>
      <c r="O174" s="19">
        <f>SUM(O5:O172)</f>
        <v>69028477.886820391</v>
      </c>
      <c r="P174" s="19">
        <f>SUM(P5:P172)</f>
        <v>358800.3631795955</v>
      </c>
      <c r="Q174" s="73"/>
      <c r="R174" s="140">
        <f>SUM(R5:R172)</f>
        <v>-68046.58493350909</v>
      </c>
      <c r="AF174" s="87"/>
    </row>
    <row r="175" spans="1:32" x14ac:dyDescent="0.2">
      <c r="G175" s="16"/>
      <c r="H175" s="16"/>
      <c r="I175" s="74"/>
      <c r="O175" s="16"/>
      <c r="P175" s="16"/>
      <c r="AF175" s="87"/>
    </row>
    <row r="176" spans="1:32" x14ac:dyDescent="0.2">
      <c r="G176" s="16"/>
      <c r="H176" s="16"/>
      <c r="I176" s="85"/>
      <c r="O176" s="16"/>
      <c r="P176" s="16"/>
      <c r="AF176" s="87"/>
    </row>
    <row r="177" spans="1:32" x14ac:dyDescent="0.2">
      <c r="A177" s="20"/>
      <c r="B177" s="20"/>
      <c r="C177" s="21"/>
      <c r="D177" s="21"/>
      <c r="E177" s="21"/>
      <c r="F177" s="20"/>
      <c r="G177" s="22"/>
      <c r="H177" s="22"/>
      <c r="I177" s="85"/>
      <c r="J177" s="22"/>
      <c r="K177" s="22"/>
      <c r="L177" s="22"/>
      <c r="M177" s="22"/>
      <c r="N177" s="22"/>
      <c r="O177" s="22"/>
      <c r="P177" s="22"/>
      <c r="R177" s="22"/>
      <c r="AF177" s="87"/>
    </row>
    <row r="178" spans="1:32" x14ac:dyDescent="0.2">
      <c r="A178" s="20"/>
      <c r="B178" s="90"/>
      <c r="C178" s="21"/>
      <c r="D178" s="21"/>
      <c r="E178" s="21"/>
      <c r="F178" s="20"/>
      <c r="G178" s="22"/>
      <c r="H178" s="22"/>
      <c r="I178" s="85"/>
      <c r="J178" s="21"/>
      <c r="K178" s="21"/>
      <c r="L178" s="21"/>
      <c r="M178" s="21"/>
      <c r="N178" s="20"/>
      <c r="O178" s="22"/>
      <c r="P178" s="22"/>
      <c r="AF178" s="87"/>
    </row>
    <row r="179" spans="1:32" x14ac:dyDescent="0.2">
      <c r="A179" s="20"/>
      <c r="B179" s="20"/>
      <c r="C179" s="21"/>
      <c r="D179" s="21"/>
      <c r="E179" s="21"/>
      <c r="F179" s="20"/>
      <c r="G179" s="22"/>
      <c r="H179" s="22"/>
      <c r="I179" s="85"/>
      <c r="J179" s="21"/>
      <c r="K179" s="21"/>
      <c r="L179" s="21"/>
      <c r="M179" s="21"/>
      <c r="N179" s="20"/>
      <c r="O179" s="22"/>
      <c r="P179" s="22"/>
      <c r="AF179" s="87"/>
    </row>
    <row r="180" spans="1:32" x14ac:dyDescent="0.2">
      <c r="G180" s="16"/>
      <c r="H180" s="16"/>
      <c r="I180" s="85"/>
      <c r="O180" s="16"/>
      <c r="P180" s="16"/>
      <c r="AF180" s="87"/>
    </row>
    <row r="181" spans="1:32" x14ac:dyDescent="0.2">
      <c r="G181" s="16"/>
      <c r="H181" s="16"/>
      <c r="I181" s="85"/>
      <c r="O181" s="16"/>
      <c r="P181" s="16"/>
      <c r="AF181" s="87"/>
    </row>
    <row r="182" spans="1:32" x14ac:dyDescent="0.2">
      <c r="G182" s="16"/>
      <c r="H182" s="16"/>
      <c r="I182" s="85"/>
      <c r="O182" s="16"/>
      <c r="P182" s="16"/>
      <c r="AF182" s="87"/>
    </row>
    <row r="183" spans="1:32" ht="13.2" x14ac:dyDescent="0.25">
      <c r="G183" s="16"/>
      <c r="H183" s="16"/>
      <c r="I183" s="85"/>
      <c r="O183" s="16"/>
      <c r="P183" s="16"/>
      <c r="X183"/>
      <c r="Y183"/>
      <c r="Z183" s="144"/>
      <c r="AF183" s="87"/>
    </row>
    <row r="184" spans="1:32" ht="13.2" x14ac:dyDescent="0.25">
      <c r="G184" s="16"/>
      <c r="H184" s="16"/>
      <c r="I184" s="85"/>
      <c r="O184" s="16"/>
      <c r="P184" s="16"/>
      <c r="X184"/>
      <c r="Y184"/>
      <c r="Z184"/>
      <c r="AF184" s="87"/>
    </row>
    <row r="185" spans="1:32" ht="13.2" x14ac:dyDescent="0.25">
      <c r="G185" s="16"/>
      <c r="H185" s="16"/>
      <c r="I185" s="85"/>
      <c r="O185" s="16"/>
      <c r="P185" s="16"/>
      <c r="X185"/>
      <c r="Y185"/>
      <c r="Z185" s="144"/>
      <c r="AF185" s="87"/>
    </row>
    <row r="186" spans="1:32" ht="13.2" x14ac:dyDescent="0.25">
      <c r="G186" s="16"/>
      <c r="H186" s="16"/>
      <c r="I186" s="85"/>
      <c r="O186" s="16"/>
      <c r="P186" s="16"/>
      <c r="X186"/>
      <c r="Y186"/>
      <c r="Z186" s="144"/>
      <c r="AF186" s="87"/>
    </row>
    <row r="187" spans="1:32" ht="13.2" x14ac:dyDescent="0.25">
      <c r="G187" s="16"/>
      <c r="H187" s="16"/>
      <c r="I187" s="85"/>
      <c r="O187" s="16"/>
      <c r="P187" s="16"/>
      <c r="X187"/>
      <c r="Y187"/>
      <c r="Z187" s="144"/>
      <c r="AF187" s="87"/>
    </row>
    <row r="188" spans="1:32" x14ac:dyDescent="0.2">
      <c r="G188" s="16"/>
      <c r="H188" s="16"/>
      <c r="I188" s="85"/>
      <c r="O188" s="16"/>
      <c r="P188" s="16"/>
      <c r="AF188" s="87"/>
    </row>
    <row r="189" spans="1:32" x14ac:dyDescent="0.2">
      <c r="A189" s="106"/>
      <c r="B189" s="106"/>
      <c r="C189" s="73"/>
      <c r="D189" s="73"/>
      <c r="E189" s="73"/>
      <c r="F189" s="106"/>
      <c r="G189" s="72"/>
      <c r="H189" s="72"/>
      <c r="I189" s="107"/>
      <c r="J189" s="73"/>
      <c r="K189" s="73"/>
      <c r="L189" s="73"/>
      <c r="M189" s="73"/>
      <c r="N189" s="106"/>
      <c r="O189" s="72"/>
      <c r="P189" s="72"/>
      <c r="AF189" s="87"/>
    </row>
    <row r="190" spans="1:32" x14ac:dyDescent="0.2">
      <c r="A190" s="106"/>
      <c r="B190" s="106"/>
      <c r="C190" s="73"/>
      <c r="D190" s="73"/>
      <c r="E190" s="73"/>
      <c r="F190" s="106"/>
      <c r="G190" s="72"/>
      <c r="H190" s="72"/>
      <c r="I190" s="107"/>
      <c r="J190" s="73"/>
      <c r="K190" s="73"/>
      <c r="L190" s="73"/>
      <c r="M190" s="73"/>
      <c r="N190" s="106"/>
      <c r="O190" s="72"/>
      <c r="P190" s="72"/>
      <c r="AF190" s="87"/>
    </row>
    <row r="191" spans="1:32" x14ac:dyDescent="0.2">
      <c r="A191" s="106"/>
      <c r="B191" s="106"/>
      <c r="C191" s="73"/>
      <c r="D191" s="73"/>
      <c r="E191" s="73"/>
      <c r="F191" s="106"/>
      <c r="G191" s="72"/>
      <c r="H191" s="72"/>
      <c r="I191" s="107"/>
      <c r="J191" s="73"/>
      <c r="K191" s="73"/>
      <c r="L191" s="73"/>
      <c r="M191" s="73"/>
      <c r="N191" s="106"/>
      <c r="O191" s="72"/>
      <c r="P191" s="72"/>
      <c r="AF191" s="87"/>
    </row>
    <row r="192" spans="1:32" ht="13.2" x14ac:dyDescent="0.25">
      <c r="A192" s="31"/>
      <c r="B192" s="9"/>
      <c r="C192" s="53"/>
      <c r="D192" s="53"/>
      <c r="E192" s="53"/>
      <c r="F192" s="9"/>
      <c r="G192" s="95"/>
      <c r="H192" s="95"/>
      <c r="I192" s="107"/>
      <c r="J192" s="53"/>
      <c r="K192" s="53"/>
      <c r="L192" s="53"/>
      <c r="M192" s="53"/>
      <c r="N192" s="9"/>
      <c r="O192" s="95"/>
      <c r="P192" s="95"/>
      <c r="AF192" s="87"/>
    </row>
    <row r="193" spans="1:32" ht="13.2" x14ac:dyDescent="0.25">
      <c r="A193" s="31"/>
      <c r="B193" s="9"/>
      <c r="C193" s="53"/>
      <c r="D193" s="53"/>
      <c r="E193" s="53"/>
      <c r="F193" s="9"/>
      <c r="G193" s="96"/>
      <c r="H193" s="96"/>
      <c r="I193" s="107"/>
      <c r="J193" s="53"/>
      <c r="K193" s="53"/>
      <c r="L193" s="53"/>
      <c r="M193" s="53"/>
      <c r="N193" s="9"/>
      <c r="O193" s="96"/>
      <c r="P193" s="96"/>
      <c r="AF193" s="87"/>
    </row>
    <row r="194" spans="1:32" ht="13.2" x14ac:dyDescent="0.25">
      <c r="A194" s="31"/>
      <c r="B194" s="9"/>
      <c r="C194" s="53"/>
      <c r="D194" s="53"/>
      <c r="E194" s="53"/>
      <c r="F194" s="9"/>
      <c r="G194" s="96"/>
      <c r="H194" s="96"/>
      <c r="I194" s="107"/>
      <c r="J194" s="53"/>
      <c r="K194" s="53"/>
      <c r="L194" s="53"/>
      <c r="M194" s="53"/>
      <c r="N194" s="9"/>
      <c r="O194" s="96"/>
      <c r="P194" s="96"/>
      <c r="AF194" s="87"/>
    </row>
    <row r="195" spans="1:32" ht="13.2" x14ac:dyDescent="0.25">
      <c r="A195" s="31"/>
      <c r="B195" s="31"/>
      <c r="C195" s="83"/>
      <c r="D195" s="83"/>
      <c r="E195" s="83"/>
      <c r="F195" s="31"/>
      <c r="G195" s="103"/>
      <c r="H195" s="103"/>
      <c r="I195" s="107"/>
      <c r="J195" s="83"/>
      <c r="K195" s="83"/>
      <c r="L195" s="83"/>
      <c r="M195" s="83"/>
      <c r="N195" s="31"/>
      <c r="O195" s="103"/>
      <c r="P195" s="103"/>
      <c r="AF195" s="87"/>
    </row>
    <row r="196" spans="1:32" ht="13.2" x14ac:dyDescent="0.25">
      <c r="A196" s="31"/>
      <c r="B196" s="9"/>
      <c r="C196" s="83"/>
      <c r="D196" s="83"/>
      <c r="E196" s="83"/>
      <c r="F196" s="31"/>
      <c r="G196" s="103"/>
      <c r="H196" s="103"/>
      <c r="I196" s="107"/>
      <c r="J196" s="83"/>
      <c r="K196" s="83"/>
      <c r="L196" s="83"/>
      <c r="M196" s="83"/>
      <c r="N196" s="31"/>
      <c r="O196" s="103"/>
      <c r="P196" s="103"/>
      <c r="AF196" s="87"/>
    </row>
    <row r="197" spans="1:32" ht="13.2" x14ac:dyDescent="0.25">
      <c r="A197" s="9"/>
      <c r="B197" s="9"/>
      <c r="C197" s="73"/>
      <c r="D197" s="105"/>
      <c r="E197" s="49"/>
      <c r="F197" s="9"/>
      <c r="G197" s="49"/>
      <c r="H197" s="49"/>
      <c r="I197" s="107"/>
      <c r="J197" s="73"/>
      <c r="K197" s="105"/>
      <c r="L197" s="105"/>
      <c r="M197" s="49"/>
      <c r="N197" s="9"/>
      <c r="O197" s="49"/>
      <c r="P197" s="49"/>
      <c r="AF197" s="87"/>
    </row>
    <row r="198" spans="1:32" ht="13.2" x14ac:dyDescent="0.25">
      <c r="A198" s="9"/>
      <c r="B198" s="9"/>
      <c r="C198" s="88"/>
      <c r="D198" s="105"/>
      <c r="E198" s="49"/>
      <c r="F198" s="9"/>
      <c r="G198" s="49"/>
      <c r="H198" s="49"/>
      <c r="I198" s="107"/>
      <c r="J198" s="88"/>
      <c r="K198" s="105"/>
      <c r="L198" s="105"/>
      <c r="M198" s="49"/>
      <c r="N198" s="9"/>
      <c r="O198" s="49"/>
      <c r="P198" s="49"/>
      <c r="AF198" s="87"/>
    </row>
    <row r="199" spans="1:32" ht="13.2" x14ac:dyDescent="0.25">
      <c r="A199" s="9"/>
      <c r="B199" s="9"/>
      <c r="C199" s="88"/>
      <c r="D199" s="105"/>
      <c r="E199" s="49"/>
      <c r="F199" s="9"/>
      <c r="G199" s="49"/>
      <c r="H199" s="49"/>
      <c r="I199" s="107"/>
      <c r="J199" s="88"/>
      <c r="K199" s="105"/>
      <c r="L199" s="105"/>
      <c r="M199" s="49"/>
      <c r="N199" s="9"/>
      <c r="O199" s="49"/>
      <c r="P199" s="49"/>
      <c r="AF199" s="87"/>
    </row>
    <row r="200" spans="1:32" ht="13.2" x14ac:dyDescent="0.25">
      <c r="A200" s="9"/>
      <c r="B200" s="9"/>
      <c r="C200" s="88"/>
      <c r="D200" s="105"/>
      <c r="E200" s="49"/>
      <c r="F200" s="9"/>
      <c r="G200" s="49"/>
      <c r="H200" s="49"/>
      <c r="I200" s="107"/>
      <c r="J200" s="88"/>
      <c r="K200" s="105"/>
      <c r="L200" s="105"/>
      <c r="M200" s="49"/>
      <c r="N200" s="9"/>
      <c r="O200" s="49"/>
      <c r="P200" s="49"/>
      <c r="AF200" s="87"/>
    </row>
    <row r="201" spans="1:32" ht="13.2" x14ac:dyDescent="0.25">
      <c r="A201" s="9"/>
      <c r="B201" s="9"/>
      <c r="C201" s="88"/>
      <c r="D201" s="105"/>
      <c r="E201" s="49"/>
      <c r="F201" s="9"/>
      <c r="G201" s="49"/>
      <c r="H201" s="49"/>
      <c r="I201" s="107"/>
      <c r="J201" s="88"/>
      <c r="K201" s="105"/>
      <c r="L201" s="105"/>
      <c r="M201" s="49"/>
      <c r="N201" s="9"/>
      <c r="O201" s="49"/>
      <c r="P201" s="49"/>
      <c r="AF201" s="87"/>
    </row>
    <row r="202" spans="1:32" ht="13.2" x14ac:dyDescent="0.25">
      <c r="A202" s="9"/>
      <c r="B202" s="9"/>
      <c r="C202" s="88"/>
      <c r="D202" s="105"/>
      <c r="E202" s="49"/>
      <c r="F202" s="9"/>
      <c r="G202" s="49"/>
      <c r="H202" s="49"/>
      <c r="I202" s="107"/>
      <c r="J202" s="88"/>
      <c r="K202" s="105"/>
      <c r="L202" s="105"/>
      <c r="M202" s="49"/>
      <c r="N202" s="9"/>
      <c r="O202" s="49"/>
      <c r="P202" s="49"/>
      <c r="AF202" s="87"/>
    </row>
    <row r="203" spans="1:32" ht="13.2" x14ac:dyDescent="0.25">
      <c r="A203" s="9"/>
      <c r="B203" s="9"/>
      <c r="C203" s="88"/>
      <c r="D203" s="105"/>
      <c r="E203" s="49"/>
      <c r="F203" s="9"/>
      <c r="G203" s="49"/>
      <c r="H203" s="49"/>
      <c r="I203" s="107"/>
      <c r="J203" s="88"/>
      <c r="K203" s="105"/>
      <c r="L203" s="105"/>
      <c r="M203" s="49"/>
      <c r="N203" s="9"/>
      <c r="O203" s="49"/>
      <c r="P203" s="49"/>
      <c r="AF203" s="87"/>
    </row>
    <row r="204" spans="1:32" ht="13.2" x14ac:dyDescent="0.25">
      <c r="A204" s="9"/>
      <c r="B204" s="9"/>
      <c r="C204" s="88"/>
      <c r="D204" s="105"/>
      <c r="E204" s="49"/>
      <c r="F204" s="9"/>
      <c r="G204" s="49"/>
      <c r="H204" s="49"/>
      <c r="I204" s="107"/>
      <c r="J204" s="88"/>
      <c r="K204" s="105"/>
      <c r="L204" s="105"/>
      <c r="M204" s="49"/>
      <c r="N204" s="9"/>
      <c r="O204" s="49"/>
      <c r="P204" s="49"/>
      <c r="AF204" s="87"/>
    </row>
    <row r="205" spans="1:32" ht="13.2" x14ac:dyDescent="0.25">
      <c r="A205" s="9"/>
      <c r="B205" s="9"/>
      <c r="C205" s="88"/>
      <c r="D205" s="105"/>
      <c r="E205" s="49"/>
      <c r="F205" s="9"/>
      <c r="G205" s="49"/>
      <c r="H205" s="49"/>
      <c r="I205" s="107"/>
      <c r="J205" s="88"/>
      <c r="K205" s="105"/>
      <c r="L205" s="105"/>
      <c r="M205" s="49"/>
      <c r="N205" s="9"/>
      <c r="O205" s="49"/>
      <c r="P205" s="49"/>
      <c r="AF205" s="87"/>
    </row>
    <row r="206" spans="1:32" ht="13.2" x14ac:dyDescent="0.25">
      <c r="A206" s="9"/>
      <c r="B206" s="9"/>
      <c r="C206" s="88"/>
      <c r="D206" s="105"/>
      <c r="E206" s="49"/>
      <c r="F206" s="9"/>
      <c r="G206" s="49"/>
      <c r="H206" s="49"/>
      <c r="I206" s="107"/>
      <c r="J206" s="88"/>
      <c r="K206" s="105"/>
      <c r="L206" s="105"/>
      <c r="M206" s="49"/>
      <c r="N206" s="9"/>
      <c r="O206" s="49"/>
      <c r="P206" s="49"/>
      <c r="AF206" s="87"/>
    </row>
    <row r="207" spans="1:32" ht="13.2" x14ac:dyDescent="0.25">
      <c r="A207" s="9"/>
      <c r="B207" s="9"/>
      <c r="C207" s="88"/>
      <c r="D207" s="105"/>
      <c r="E207" s="49"/>
      <c r="F207" s="9"/>
      <c r="G207" s="49"/>
      <c r="H207" s="49"/>
      <c r="I207" s="107"/>
      <c r="J207" s="88"/>
      <c r="K207" s="105"/>
      <c r="L207" s="105"/>
      <c r="M207" s="49"/>
      <c r="N207" s="9"/>
      <c r="O207" s="49"/>
      <c r="P207" s="49"/>
      <c r="AF207" s="87"/>
    </row>
    <row r="208" spans="1:32" ht="13.2" x14ac:dyDescent="0.25">
      <c r="A208" s="9"/>
      <c r="B208" s="9"/>
      <c r="C208" s="88"/>
      <c r="D208" s="105"/>
      <c r="E208" s="49"/>
      <c r="F208" s="9"/>
      <c r="G208" s="49"/>
      <c r="H208" s="49"/>
      <c r="I208" s="107"/>
      <c r="J208" s="88"/>
      <c r="K208" s="105"/>
      <c r="L208" s="105"/>
      <c r="M208" s="49"/>
      <c r="N208" s="9"/>
      <c r="O208" s="49"/>
      <c r="P208" s="49"/>
      <c r="AF208" s="87"/>
    </row>
    <row r="209" spans="1:32" ht="13.2" x14ac:dyDescent="0.25">
      <c r="A209" s="9"/>
      <c r="B209" s="9"/>
      <c r="C209" s="88"/>
      <c r="D209" s="105"/>
      <c r="E209" s="49"/>
      <c r="F209" s="9"/>
      <c r="G209" s="49"/>
      <c r="H209" s="49"/>
      <c r="I209" s="107"/>
      <c r="J209" s="88"/>
      <c r="K209" s="105"/>
      <c r="L209" s="105"/>
      <c r="M209" s="49"/>
      <c r="N209" s="9"/>
      <c r="O209" s="49"/>
      <c r="P209" s="49"/>
      <c r="AF209" s="87"/>
    </row>
    <row r="210" spans="1:32" ht="13.2" x14ac:dyDescent="0.25">
      <c r="A210" s="9"/>
      <c r="B210" s="9"/>
      <c r="C210" s="88"/>
      <c r="D210" s="105"/>
      <c r="E210" s="49"/>
      <c r="F210" s="9"/>
      <c r="G210" s="49"/>
      <c r="H210" s="49"/>
      <c r="I210" s="107"/>
      <c r="J210" s="88"/>
      <c r="K210" s="105"/>
      <c r="L210" s="105"/>
      <c r="M210" s="49"/>
      <c r="N210" s="9"/>
      <c r="O210" s="49"/>
      <c r="P210" s="49"/>
      <c r="AF210" s="87"/>
    </row>
    <row r="211" spans="1:32" ht="13.2" x14ac:dyDescent="0.25">
      <c r="A211" s="9"/>
      <c r="B211" s="9"/>
      <c r="C211" s="88"/>
      <c r="D211" s="105"/>
      <c r="E211" s="49"/>
      <c r="F211" s="9"/>
      <c r="G211" s="49"/>
      <c r="H211" s="49"/>
      <c r="I211" s="107"/>
      <c r="J211" s="88"/>
      <c r="K211" s="105"/>
      <c r="L211" s="105"/>
      <c r="M211" s="49"/>
      <c r="N211" s="9"/>
      <c r="O211" s="49"/>
      <c r="P211" s="49"/>
      <c r="AF211" s="87"/>
    </row>
    <row r="212" spans="1:32" ht="13.2" x14ac:dyDescent="0.25">
      <c r="A212" s="9"/>
      <c r="B212" s="9"/>
      <c r="C212" s="88"/>
      <c r="D212" s="105"/>
      <c r="E212" s="49"/>
      <c r="F212" s="9"/>
      <c r="G212" s="49"/>
      <c r="H212" s="49"/>
      <c r="I212" s="107"/>
      <c r="J212" s="88"/>
      <c r="K212" s="105"/>
      <c r="L212" s="105"/>
      <c r="M212" s="49"/>
      <c r="N212" s="9"/>
      <c r="O212" s="49"/>
      <c r="P212" s="49"/>
      <c r="AF212" s="87"/>
    </row>
    <row r="213" spans="1:32" ht="13.2" x14ac:dyDescent="0.25">
      <c r="A213" s="9"/>
      <c r="B213" s="9"/>
      <c r="C213" s="88"/>
      <c r="D213" s="105"/>
      <c r="E213" s="49"/>
      <c r="F213" s="9"/>
      <c r="G213" s="49"/>
      <c r="H213" s="49"/>
      <c r="I213" s="107"/>
      <c r="J213" s="88"/>
      <c r="K213" s="105"/>
      <c r="L213" s="105"/>
      <c r="M213" s="49"/>
      <c r="N213" s="9"/>
      <c r="O213" s="49"/>
      <c r="P213" s="49"/>
      <c r="AF213" s="87"/>
    </row>
    <row r="214" spans="1:32" ht="13.2" x14ac:dyDescent="0.25">
      <c r="A214" s="9"/>
      <c r="B214" s="9"/>
      <c r="C214" s="88"/>
      <c r="D214" s="105"/>
      <c r="E214" s="49"/>
      <c r="F214" s="9"/>
      <c r="G214" s="49"/>
      <c r="H214" s="49"/>
      <c r="I214" s="107"/>
      <c r="J214" s="88"/>
      <c r="K214" s="105"/>
      <c r="L214" s="105"/>
      <c r="M214" s="49"/>
      <c r="N214" s="9"/>
      <c r="O214" s="49"/>
      <c r="P214" s="49"/>
      <c r="AF214" s="87"/>
    </row>
    <row r="215" spans="1:32" ht="13.2" x14ac:dyDescent="0.25">
      <c r="A215" s="9"/>
      <c r="B215" s="9"/>
      <c r="C215" s="88"/>
      <c r="D215" s="105"/>
      <c r="E215" s="49"/>
      <c r="F215" s="9"/>
      <c r="G215" s="49"/>
      <c r="H215" s="49"/>
      <c r="I215" s="107"/>
      <c r="J215" s="88"/>
      <c r="K215" s="105"/>
      <c r="L215" s="105"/>
      <c r="M215" s="49"/>
      <c r="N215" s="9"/>
      <c r="O215" s="49"/>
      <c r="P215" s="49"/>
      <c r="AF215" s="87"/>
    </row>
    <row r="216" spans="1:32" ht="13.2" x14ac:dyDescent="0.25">
      <c r="A216" s="9"/>
      <c r="B216" s="9"/>
      <c r="C216" s="88"/>
      <c r="D216" s="105"/>
      <c r="E216" s="49"/>
      <c r="F216" s="9"/>
      <c r="G216" s="49"/>
      <c r="H216" s="49"/>
      <c r="I216" s="107"/>
      <c r="J216" s="88"/>
      <c r="K216" s="105"/>
      <c r="L216" s="105"/>
      <c r="M216" s="49"/>
      <c r="N216" s="9"/>
      <c r="O216" s="49"/>
      <c r="P216" s="49"/>
      <c r="AF216" s="87"/>
    </row>
    <row r="217" spans="1:32" ht="13.2" x14ac:dyDescent="0.25">
      <c r="A217" s="9"/>
      <c r="B217" s="9"/>
      <c r="C217" s="88"/>
      <c r="D217" s="105"/>
      <c r="E217" s="49"/>
      <c r="F217" s="9"/>
      <c r="G217" s="49"/>
      <c r="H217" s="49"/>
      <c r="I217" s="107"/>
      <c r="J217" s="88"/>
      <c r="K217" s="105"/>
      <c r="L217" s="105"/>
      <c r="M217" s="49"/>
      <c r="N217" s="9"/>
      <c r="O217" s="49"/>
      <c r="P217" s="49"/>
      <c r="AF217" s="87"/>
    </row>
    <row r="218" spans="1:32" ht="13.2" x14ac:dyDescent="0.25">
      <c r="A218" s="9"/>
      <c r="B218" s="53"/>
      <c r="C218" s="53"/>
      <c r="D218" s="53"/>
      <c r="E218" s="49"/>
      <c r="F218" s="53"/>
      <c r="G218" s="53"/>
      <c r="H218" s="53"/>
      <c r="I218" s="107"/>
      <c r="J218" s="53"/>
      <c r="K218" s="53"/>
      <c r="L218" s="53"/>
      <c r="M218" s="49"/>
      <c r="N218" s="53"/>
      <c r="O218" s="53"/>
      <c r="P218" s="53"/>
      <c r="AF218" s="87"/>
    </row>
    <row r="219" spans="1:32" ht="13.2" x14ac:dyDescent="0.25">
      <c r="A219" s="9"/>
      <c r="B219" s="53"/>
      <c r="C219" s="53"/>
      <c r="D219" s="53"/>
      <c r="E219" s="49"/>
      <c r="F219" s="53"/>
      <c r="G219" s="53"/>
      <c r="H219" s="53"/>
      <c r="I219" s="107"/>
      <c r="J219" s="53"/>
      <c r="K219" s="53"/>
      <c r="L219" s="53"/>
      <c r="M219" s="49"/>
      <c r="N219" s="53"/>
      <c r="O219" s="53"/>
      <c r="P219" s="53"/>
      <c r="AF219" s="87"/>
    </row>
    <row r="220" spans="1:32" ht="13.2" x14ac:dyDescent="0.25">
      <c r="A220" s="9"/>
      <c r="B220" s="53"/>
      <c r="C220" s="53"/>
      <c r="D220" s="53"/>
      <c r="E220" s="49"/>
      <c r="F220" s="53"/>
      <c r="G220" s="53"/>
      <c r="H220" s="53"/>
      <c r="I220" s="107"/>
      <c r="J220" s="53"/>
      <c r="K220" s="53"/>
      <c r="L220" s="53"/>
      <c r="M220" s="49"/>
      <c r="N220" s="53"/>
      <c r="O220" s="53"/>
      <c r="P220" s="53"/>
      <c r="AF220" s="87"/>
    </row>
    <row r="221" spans="1:32" x14ac:dyDescent="0.2">
      <c r="A221" s="106"/>
      <c r="B221" s="106"/>
      <c r="C221" s="73"/>
      <c r="D221" s="73"/>
      <c r="E221" s="73"/>
      <c r="F221" s="106"/>
      <c r="G221" s="72"/>
      <c r="H221" s="72"/>
      <c r="I221" s="107"/>
      <c r="J221" s="73"/>
      <c r="K221" s="73"/>
      <c r="L221" s="73"/>
      <c r="M221" s="73"/>
      <c r="N221" s="106"/>
      <c r="O221" s="72"/>
      <c r="P221" s="72"/>
      <c r="AF221" s="87"/>
    </row>
    <row r="222" spans="1:32" x14ac:dyDescent="0.2">
      <c r="A222" s="106"/>
      <c r="B222" s="106"/>
      <c r="C222" s="73"/>
      <c r="D222" s="73"/>
      <c r="E222" s="73"/>
      <c r="F222" s="106"/>
      <c r="G222" s="72"/>
      <c r="H222" s="72"/>
      <c r="I222" s="107"/>
      <c r="J222" s="73"/>
      <c r="K222" s="73"/>
      <c r="L222" s="73"/>
      <c r="M222" s="73"/>
      <c r="N222" s="106"/>
      <c r="O222" s="72"/>
      <c r="P222" s="72"/>
      <c r="AF222" s="87"/>
    </row>
    <row r="223" spans="1:32" x14ac:dyDescent="0.2">
      <c r="G223" s="16"/>
      <c r="H223" s="16"/>
      <c r="I223" s="85"/>
      <c r="O223" s="16"/>
      <c r="P223" s="16"/>
      <c r="AF223" s="87"/>
    </row>
    <row r="224" spans="1:32" x14ac:dyDescent="0.2">
      <c r="G224" s="16"/>
      <c r="H224" s="16"/>
      <c r="I224" s="85"/>
      <c r="O224" s="16"/>
      <c r="P224" s="16"/>
      <c r="AF224" s="87"/>
    </row>
    <row r="225" spans="7:32" x14ac:dyDescent="0.2">
      <c r="G225" s="16"/>
      <c r="H225" s="16"/>
      <c r="I225" s="85"/>
      <c r="O225" s="16"/>
      <c r="P225" s="16"/>
      <c r="AF225" s="87"/>
    </row>
    <row r="226" spans="7:32" x14ac:dyDescent="0.2">
      <c r="G226" s="16"/>
      <c r="H226" s="16"/>
      <c r="I226" s="85"/>
      <c r="O226" s="16"/>
      <c r="P226" s="16"/>
      <c r="AF226" s="87"/>
    </row>
    <row r="227" spans="7:32" x14ac:dyDescent="0.2">
      <c r="G227" s="16"/>
      <c r="H227" s="16"/>
      <c r="I227" s="85"/>
      <c r="O227" s="16"/>
      <c r="P227" s="16"/>
      <c r="AF227" s="87"/>
    </row>
    <row r="228" spans="7:32" x14ac:dyDescent="0.2">
      <c r="G228" s="16"/>
      <c r="H228" s="16"/>
      <c r="I228" s="85"/>
      <c r="O228" s="16"/>
      <c r="P228" s="16"/>
      <c r="AF228" s="87"/>
    </row>
    <row r="229" spans="7:32" x14ac:dyDescent="0.2">
      <c r="G229" s="16"/>
      <c r="H229" s="16"/>
      <c r="I229" s="85"/>
      <c r="O229" s="16"/>
      <c r="P229" s="16"/>
      <c r="AF229" s="87"/>
    </row>
    <row r="230" spans="7:32" x14ac:dyDescent="0.2">
      <c r="G230" s="16"/>
      <c r="H230" s="16"/>
      <c r="I230" s="85"/>
      <c r="O230" s="16"/>
      <c r="P230" s="16"/>
      <c r="AF230" s="87"/>
    </row>
    <row r="231" spans="7:32" x14ac:dyDescent="0.2">
      <c r="G231" s="16"/>
      <c r="H231" s="16"/>
      <c r="I231" s="85"/>
      <c r="O231" s="16"/>
      <c r="P231" s="16"/>
      <c r="AF231" s="87"/>
    </row>
    <row r="232" spans="7:32" x14ac:dyDescent="0.2">
      <c r="G232" s="16"/>
      <c r="H232" s="16"/>
      <c r="I232" s="85"/>
      <c r="O232" s="16"/>
      <c r="P232" s="16"/>
      <c r="AF232" s="87"/>
    </row>
    <row r="233" spans="7:32" x14ac:dyDescent="0.2">
      <c r="G233" s="16"/>
      <c r="H233" s="16"/>
      <c r="I233" s="85"/>
      <c r="O233" s="16"/>
      <c r="P233" s="16"/>
      <c r="AF233" s="87"/>
    </row>
    <row r="234" spans="7:32" x14ac:dyDescent="0.2">
      <c r="G234" s="16"/>
      <c r="H234" s="16"/>
      <c r="I234" s="85"/>
      <c r="O234" s="16"/>
      <c r="P234" s="16"/>
      <c r="AF234" s="87"/>
    </row>
    <row r="235" spans="7:32" x14ac:dyDescent="0.2">
      <c r="G235" s="16"/>
      <c r="H235" s="16"/>
      <c r="I235" s="85"/>
      <c r="O235" s="16"/>
      <c r="P235" s="16"/>
      <c r="AF235" s="87"/>
    </row>
    <row r="236" spans="7:32" x14ac:dyDescent="0.2">
      <c r="G236" s="16"/>
      <c r="H236" s="16"/>
      <c r="I236" s="85"/>
      <c r="O236" s="16"/>
      <c r="P236" s="16"/>
      <c r="AF236" s="87"/>
    </row>
    <row r="237" spans="7:32" x14ac:dyDescent="0.2">
      <c r="G237" s="16"/>
      <c r="H237" s="16"/>
      <c r="I237" s="85"/>
      <c r="O237" s="16"/>
      <c r="P237" s="16"/>
      <c r="AF237" s="87"/>
    </row>
    <row r="238" spans="7:32" x14ac:dyDescent="0.2">
      <c r="G238" s="16"/>
      <c r="H238" s="16"/>
      <c r="I238" s="85"/>
      <c r="O238" s="16"/>
      <c r="P238" s="16"/>
      <c r="AF238" s="87"/>
    </row>
    <row r="239" spans="7:32" x14ac:dyDescent="0.2">
      <c r="G239" s="16"/>
      <c r="H239" s="16"/>
      <c r="I239" s="85"/>
      <c r="O239" s="16"/>
      <c r="P239" s="16"/>
      <c r="AF239" s="87"/>
    </row>
    <row r="240" spans="7:32" x14ac:dyDescent="0.2">
      <c r="G240" s="16"/>
      <c r="H240" s="16"/>
      <c r="I240" s="85"/>
      <c r="O240" s="16"/>
      <c r="P240" s="16"/>
    </row>
    <row r="241" spans="7:16" x14ac:dyDescent="0.2">
      <c r="G241" s="16"/>
      <c r="H241" s="16"/>
      <c r="I241" s="85"/>
      <c r="O241" s="16"/>
      <c r="P241" s="16"/>
    </row>
    <row r="242" spans="7:16" x14ac:dyDescent="0.2">
      <c r="G242" s="16"/>
      <c r="H242" s="16"/>
      <c r="I242" s="85"/>
      <c r="O242" s="16"/>
      <c r="P242" s="16"/>
    </row>
    <row r="243" spans="7:16" x14ac:dyDescent="0.2">
      <c r="G243" s="16"/>
      <c r="H243" s="16"/>
      <c r="I243" s="16"/>
      <c r="O243" s="16"/>
      <c r="P243" s="16"/>
    </row>
    <row r="244" spans="7:16" x14ac:dyDescent="0.2">
      <c r="G244" s="16"/>
      <c r="H244" s="16"/>
      <c r="I244" s="16"/>
      <c r="O244" s="16"/>
      <c r="P244" s="16"/>
    </row>
    <row r="245" spans="7:16" x14ac:dyDescent="0.2">
      <c r="G245" s="16"/>
      <c r="H245" s="16"/>
      <c r="I245" s="16"/>
      <c r="O245" s="16"/>
      <c r="P245" s="16"/>
    </row>
    <row r="246" spans="7:16" x14ac:dyDescent="0.2">
      <c r="G246" s="16"/>
      <c r="H246" s="16"/>
      <c r="I246" s="16"/>
      <c r="O246" s="16"/>
      <c r="P246" s="16"/>
    </row>
    <row r="247" spans="7:16" x14ac:dyDescent="0.2">
      <c r="G247" s="16"/>
      <c r="H247" s="16"/>
      <c r="I247" s="16"/>
      <c r="O247" s="16"/>
      <c r="P247" s="16"/>
    </row>
    <row r="248" spans="7:16" x14ac:dyDescent="0.2">
      <c r="G248" s="16"/>
      <c r="H248" s="16"/>
      <c r="I248" s="16"/>
      <c r="O248" s="16"/>
      <c r="P248" s="16"/>
    </row>
    <row r="249" spans="7:16" x14ac:dyDescent="0.2">
      <c r="G249" s="16"/>
      <c r="H249" s="16"/>
      <c r="I249" s="16"/>
      <c r="O249" s="16"/>
      <c r="P249" s="16"/>
    </row>
    <row r="250" spans="7:16" x14ac:dyDescent="0.2">
      <c r="G250" s="16"/>
      <c r="H250" s="16"/>
      <c r="I250" s="16"/>
      <c r="O250" s="16"/>
      <c r="P250" s="16"/>
    </row>
    <row r="251" spans="7:16" x14ac:dyDescent="0.2">
      <c r="G251" s="16"/>
      <c r="H251" s="16"/>
      <c r="I251" s="16"/>
      <c r="O251" s="16"/>
      <c r="P251" s="16"/>
    </row>
    <row r="252" spans="7:16" x14ac:dyDescent="0.2">
      <c r="G252" s="16"/>
      <c r="H252" s="16"/>
      <c r="I252" s="16"/>
      <c r="O252" s="16"/>
      <c r="P252" s="16"/>
    </row>
    <row r="253" spans="7:16" x14ac:dyDescent="0.2">
      <c r="G253" s="16"/>
      <c r="H253" s="16"/>
      <c r="I253" s="16"/>
      <c r="O253" s="16"/>
      <c r="P253" s="16"/>
    </row>
    <row r="254" spans="7:16" x14ac:dyDescent="0.2">
      <c r="G254" s="16"/>
      <c r="H254" s="16"/>
      <c r="I254" s="16"/>
      <c r="O254" s="16"/>
      <c r="P254" s="16"/>
    </row>
    <row r="255" spans="7:16" x14ac:dyDescent="0.2">
      <c r="G255" s="16"/>
      <c r="H255" s="16"/>
      <c r="I255" s="16"/>
      <c r="O255" s="16"/>
      <c r="P255" s="16"/>
    </row>
    <row r="256" spans="7:16" x14ac:dyDescent="0.2">
      <c r="G256" s="16"/>
      <c r="H256" s="16"/>
      <c r="I256" s="16"/>
      <c r="O256" s="16"/>
      <c r="P256" s="16"/>
    </row>
    <row r="257" spans="7:16" x14ac:dyDescent="0.2">
      <c r="G257" s="16"/>
      <c r="H257" s="16"/>
      <c r="I257" s="16"/>
      <c r="O257" s="16"/>
      <c r="P257" s="16"/>
    </row>
    <row r="258" spans="7:16" x14ac:dyDescent="0.2">
      <c r="G258" s="16"/>
      <c r="H258" s="16"/>
      <c r="I258" s="16"/>
      <c r="O258" s="16"/>
      <c r="P258" s="16"/>
    </row>
    <row r="259" spans="7:16" x14ac:dyDescent="0.2">
      <c r="G259" s="16"/>
      <c r="H259" s="16"/>
      <c r="I259" s="16"/>
      <c r="O259" s="16"/>
      <c r="P259" s="16"/>
    </row>
    <row r="260" spans="7:16" x14ac:dyDescent="0.2">
      <c r="G260" s="16"/>
      <c r="H260" s="16"/>
      <c r="I260" s="16"/>
      <c r="O260" s="16"/>
      <c r="P260" s="16"/>
    </row>
    <row r="261" spans="7:16" x14ac:dyDescent="0.2">
      <c r="G261" s="16"/>
      <c r="H261" s="16"/>
      <c r="I261" s="16"/>
      <c r="O261" s="16"/>
      <c r="P261" s="16"/>
    </row>
    <row r="262" spans="7:16" x14ac:dyDescent="0.2">
      <c r="G262" s="16"/>
      <c r="H262" s="16"/>
      <c r="I262" s="16"/>
      <c r="O262" s="16"/>
      <c r="P262" s="16"/>
    </row>
    <row r="263" spans="7:16" x14ac:dyDescent="0.2">
      <c r="G263" s="16"/>
      <c r="H263" s="16"/>
      <c r="I263" s="16"/>
      <c r="O263" s="16"/>
      <c r="P263" s="16"/>
    </row>
    <row r="264" spans="7:16" x14ac:dyDescent="0.2">
      <c r="G264" s="16"/>
      <c r="H264" s="16"/>
      <c r="I264" s="16"/>
      <c r="O264" s="16"/>
      <c r="P264" s="16"/>
    </row>
    <row r="265" spans="7:16" x14ac:dyDescent="0.2">
      <c r="G265" s="16"/>
      <c r="H265" s="16"/>
      <c r="I265" s="16"/>
      <c r="O265" s="16"/>
      <c r="P265" s="16"/>
    </row>
    <row r="266" spans="7:16" x14ac:dyDescent="0.2">
      <c r="G266" s="16"/>
      <c r="H266" s="16"/>
      <c r="I266" s="16"/>
      <c r="O266" s="16"/>
      <c r="P266" s="16"/>
    </row>
    <row r="267" spans="7:16" x14ac:dyDescent="0.2">
      <c r="G267" s="16"/>
      <c r="H267" s="16"/>
      <c r="I267" s="16"/>
      <c r="O267" s="16"/>
      <c r="P267" s="16"/>
    </row>
    <row r="268" spans="7:16" x14ac:dyDescent="0.2">
      <c r="G268" s="16"/>
      <c r="H268" s="16"/>
      <c r="I268" s="16"/>
      <c r="O268" s="16"/>
      <c r="P268" s="16"/>
    </row>
    <row r="269" spans="7:16" x14ac:dyDescent="0.2">
      <c r="G269" s="16"/>
      <c r="H269" s="16"/>
      <c r="I269" s="16"/>
      <c r="O269" s="16"/>
      <c r="P269" s="16"/>
    </row>
    <row r="270" spans="7:16" x14ac:dyDescent="0.2">
      <c r="G270" s="16"/>
      <c r="H270" s="16"/>
      <c r="I270" s="16"/>
      <c r="O270" s="16"/>
      <c r="P270" s="16"/>
    </row>
    <row r="271" spans="7:16" x14ac:dyDescent="0.2">
      <c r="G271" s="16"/>
      <c r="H271" s="16"/>
      <c r="I271" s="16"/>
      <c r="O271" s="16"/>
      <c r="P271" s="16"/>
    </row>
    <row r="272" spans="7:16" x14ac:dyDescent="0.2">
      <c r="G272" s="16"/>
      <c r="H272" s="16"/>
      <c r="I272" s="16"/>
      <c r="O272" s="16"/>
      <c r="P272" s="16"/>
    </row>
    <row r="273" spans="7:16" x14ac:dyDescent="0.2">
      <c r="G273" s="16"/>
      <c r="H273" s="16"/>
      <c r="I273" s="16"/>
      <c r="O273" s="16"/>
      <c r="P273" s="16"/>
    </row>
    <row r="274" spans="7:16" x14ac:dyDescent="0.2">
      <c r="G274" s="16"/>
      <c r="H274" s="16"/>
      <c r="I274" s="16"/>
      <c r="O274" s="16"/>
      <c r="P274" s="16"/>
    </row>
    <row r="275" spans="7:16" x14ac:dyDescent="0.2">
      <c r="G275" s="16"/>
      <c r="H275" s="16"/>
      <c r="I275" s="16"/>
      <c r="O275" s="16"/>
      <c r="P275" s="16"/>
    </row>
    <row r="276" spans="7:16" x14ac:dyDescent="0.2">
      <c r="G276" s="16"/>
      <c r="H276" s="16"/>
      <c r="I276" s="16"/>
      <c r="O276" s="16"/>
      <c r="P276" s="16"/>
    </row>
    <row r="277" spans="7:16" x14ac:dyDescent="0.2">
      <c r="G277" s="16"/>
      <c r="H277" s="16"/>
      <c r="I277" s="16"/>
      <c r="O277" s="16"/>
      <c r="P277" s="16"/>
    </row>
    <row r="278" spans="7:16" x14ac:dyDescent="0.2">
      <c r="G278" s="16"/>
      <c r="H278" s="16"/>
      <c r="I278" s="16"/>
      <c r="O278" s="16"/>
      <c r="P278" s="16"/>
    </row>
    <row r="279" spans="7:16" x14ac:dyDescent="0.2">
      <c r="G279" s="16"/>
      <c r="H279" s="16"/>
      <c r="I279" s="16"/>
      <c r="O279" s="16"/>
      <c r="P279" s="16"/>
    </row>
    <row r="280" spans="7:16" x14ac:dyDescent="0.2">
      <c r="G280" s="16"/>
      <c r="H280" s="16"/>
      <c r="I280" s="16"/>
      <c r="O280" s="16"/>
      <c r="P280" s="16"/>
    </row>
    <row r="281" spans="7:16" x14ac:dyDescent="0.2">
      <c r="G281" s="16"/>
      <c r="H281" s="16"/>
      <c r="I281" s="16"/>
      <c r="O281" s="16"/>
      <c r="P281" s="16"/>
    </row>
    <row r="282" spans="7:16" x14ac:dyDescent="0.2">
      <c r="G282" s="16"/>
      <c r="H282" s="16"/>
      <c r="I282" s="16"/>
      <c r="O282" s="16"/>
      <c r="P282" s="16"/>
    </row>
    <row r="283" spans="7:16" x14ac:dyDescent="0.2">
      <c r="G283" s="16"/>
      <c r="H283" s="16"/>
      <c r="I283" s="16"/>
      <c r="O283" s="16"/>
      <c r="P283" s="16"/>
    </row>
    <row r="284" spans="7:16" x14ac:dyDescent="0.2">
      <c r="G284" s="16"/>
      <c r="H284" s="16"/>
      <c r="I284" s="16"/>
      <c r="O284" s="16"/>
      <c r="P284" s="16"/>
    </row>
    <row r="285" spans="7:16" x14ac:dyDescent="0.2">
      <c r="G285" s="16"/>
      <c r="H285" s="16"/>
      <c r="I285" s="16"/>
      <c r="O285" s="16"/>
      <c r="P285" s="16"/>
    </row>
    <row r="286" spans="7:16" x14ac:dyDescent="0.2">
      <c r="G286" s="16"/>
      <c r="H286" s="16"/>
      <c r="I286" s="16"/>
      <c r="O286" s="16"/>
      <c r="P286" s="16"/>
    </row>
    <row r="287" spans="7:16" x14ac:dyDescent="0.2">
      <c r="G287" s="16"/>
      <c r="H287" s="16"/>
      <c r="I287" s="16"/>
      <c r="O287" s="16"/>
      <c r="P287" s="16"/>
    </row>
    <row r="288" spans="7:16" x14ac:dyDescent="0.2">
      <c r="G288" s="16"/>
      <c r="H288" s="16"/>
      <c r="I288" s="16"/>
      <c r="O288" s="16"/>
      <c r="P288" s="16"/>
    </row>
    <row r="289" spans="7:16" x14ac:dyDescent="0.2">
      <c r="G289" s="16"/>
      <c r="H289" s="16"/>
      <c r="I289" s="16"/>
      <c r="O289" s="16"/>
      <c r="P289" s="16"/>
    </row>
    <row r="290" spans="7:16" x14ac:dyDescent="0.2">
      <c r="G290" s="16"/>
      <c r="H290" s="16"/>
      <c r="I290" s="16"/>
      <c r="O290" s="16"/>
      <c r="P290" s="16"/>
    </row>
    <row r="291" spans="7:16" x14ac:dyDescent="0.2">
      <c r="G291" s="16"/>
      <c r="H291" s="16"/>
      <c r="I291" s="16"/>
      <c r="O291" s="16"/>
      <c r="P291" s="16"/>
    </row>
    <row r="292" spans="7:16" x14ac:dyDescent="0.2">
      <c r="G292" s="16"/>
      <c r="H292" s="16"/>
      <c r="I292" s="16"/>
      <c r="O292" s="16"/>
      <c r="P292" s="16"/>
    </row>
    <row r="293" spans="7:16" x14ac:dyDescent="0.2">
      <c r="G293" s="16"/>
      <c r="H293" s="16"/>
      <c r="I293" s="16"/>
      <c r="O293" s="16"/>
      <c r="P293" s="16"/>
    </row>
    <row r="294" spans="7:16" x14ac:dyDescent="0.2">
      <c r="G294" s="16"/>
      <c r="H294" s="16"/>
      <c r="I294" s="16"/>
      <c r="O294" s="16"/>
      <c r="P294" s="16"/>
    </row>
    <row r="295" spans="7:16" x14ac:dyDescent="0.2">
      <c r="G295" s="16"/>
      <c r="H295" s="16"/>
      <c r="I295" s="16"/>
      <c r="O295" s="16"/>
      <c r="P295" s="16"/>
    </row>
    <row r="296" spans="7:16" x14ac:dyDescent="0.2">
      <c r="G296" s="16"/>
      <c r="H296" s="16"/>
      <c r="I296" s="16"/>
      <c r="O296" s="16"/>
      <c r="P296" s="16"/>
    </row>
    <row r="297" spans="7:16" x14ac:dyDescent="0.2">
      <c r="G297" s="16"/>
      <c r="H297" s="16"/>
      <c r="I297" s="16"/>
      <c r="O297" s="16"/>
      <c r="P297" s="16"/>
    </row>
    <row r="298" spans="7:16" x14ac:dyDescent="0.2">
      <c r="G298" s="16"/>
      <c r="H298" s="16"/>
      <c r="I298" s="16"/>
      <c r="O298" s="16"/>
      <c r="P298" s="16"/>
    </row>
    <row r="299" spans="7:16" x14ac:dyDescent="0.2">
      <c r="G299" s="16"/>
      <c r="H299" s="16"/>
      <c r="I299" s="16"/>
      <c r="O299" s="16"/>
      <c r="P299" s="16"/>
    </row>
    <row r="300" spans="7:16" x14ac:dyDescent="0.2">
      <c r="G300" s="16"/>
      <c r="H300" s="16"/>
      <c r="I300" s="16"/>
      <c r="O300" s="16"/>
      <c r="P300" s="16"/>
    </row>
    <row r="301" spans="7:16" x14ac:dyDescent="0.2">
      <c r="G301" s="16"/>
      <c r="H301" s="16"/>
      <c r="I301" s="16"/>
      <c r="O301" s="16"/>
      <c r="P301" s="16"/>
    </row>
    <row r="302" spans="7:16" x14ac:dyDescent="0.2">
      <c r="G302" s="16"/>
      <c r="H302" s="16"/>
      <c r="I302" s="16"/>
      <c r="O302" s="16"/>
      <c r="P302" s="16"/>
    </row>
    <row r="303" spans="7:16" x14ac:dyDescent="0.2">
      <c r="G303" s="16"/>
      <c r="H303" s="16"/>
      <c r="I303" s="16"/>
      <c r="O303" s="16"/>
      <c r="P303" s="16"/>
    </row>
    <row r="304" spans="7:16" x14ac:dyDescent="0.2">
      <c r="G304" s="16"/>
      <c r="H304" s="16"/>
      <c r="I304" s="16"/>
      <c r="O304" s="16"/>
      <c r="P304" s="16"/>
    </row>
    <row r="305" spans="7:16" x14ac:dyDescent="0.2">
      <c r="G305" s="16"/>
      <c r="H305" s="16"/>
      <c r="I305" s="16"/>
      <c r="O305" s="16"/>
      <c r="P305" s="16"/>
    </row>
    <row r="306" spans="7:16" x14ac:dyDescent="0.2">
      <c r="G306" s="16"/>
      <c r="H306" s="16"/>
      <c r="I306" s="16"/>
      <c r="O306" s="16"/>
      <c r="P306" s="16"/>
    </row>
    <row r="307" spans="7:16" x14ac:dyDescent="0.2">
      <c r="G307" s="16"/>
      <c r="H307" s="16"/>
      <c r="I307" s="16"/>
      <c r="O307" s="16"/>
      <c r="P307" s="16"/>
    </row>
    <row r="308" spans="7:16" x14ac:dyDescent="0.2">
      <c r="G308" s="16"/>
      <c r="H308" s="16"/>
      <c r="I308" s="16"/>
      <c r="O308" s="16"/>
      <c r="P308" s="16"/>
    </row>
    <row r="309" spans="7:16" x14ac:dyDescent="0.2">
      <c r="G309" s="16"/>
      <c r="H309" s="16"/>
      <c r="I309" s="16"/>
      <c r="O309" s="16"/>
      <c r="P309" s="16"/>
    </row>
    <row r="310" spans="7:16" x14ac:dyDescent="0.2">
      <c r="G310" s="16"/>
      <c r="H310" s="16"/>
      <c r="I310" s="16"/>
      <c r="O310" s="16"/>
      <c r="P310" s="16"/>
    </row>
    <row r="311" spans="7:16" x14ac:dyDescent="0.2">
      <c r="G311" s="16"/>
      <c r="H311" s="16"/>
      <c r="I311" s="16"/>
      <c r="O311" s="16"/>
      <c r="P311" s="16"/>
    </row>
    <row r="312" spans="7:16" x14ac:dyDescent="0.2">
      <c r="G312" s="16"/>
      <c r="H312" s="16"/>
      <c r="I312" s="16"/>
      <c r="O312" s="16"/>
      <c r="P312" s="16"/>
    </row>
    <row r="313" spans="7:16" x14ac:dyDescent="0.2">
      <c r="G313" s="16"/>
      <c r="H313" s="16"/>
      <c r="I313" s="16"/>
      <c r="O313" s="16"/>
      <c r="P313" s="16"/>
    </row>
    <row r="314" spans="7:16" x14ac:dyDescent="0.2">
      <c r="G314" s="16"/>
      <c r="H314" s="16"/>
      <c r="I314" s="16"/>
      <c r="O314" s="16"/>
      <c r="P314" s="16"/>
    </row>
    <row r="315" spans="7:16" x14ac:dyDescent="0.2">
      <c r="G315" s="16"/>
      <c r="H315" s="16"/>
      <c r="I315" s="16"/>
      <c r="O315" s="16"/>
      <c r="P315" s="16"/>
    </row>
    <row r="316" spans="7:16" x14ac:dyDescent="0.2">
      <c r="G316" s="16"/>
      <c r="H316" s="16"/>
      <c r="I316" s="16"/>
      <c r="O316" s="16"/>
      <c r="P316" s="16"/>
    </row>
    <row r="317" spans="7:16" x14ac:dyDescent="0.2">
      <c r="G317" s="16"/>
      <c r="H317" s="16"/>
      <c r="I317" s="16"/>
      <c r="O317" s="16"/>
      <c r="P317" s="16"/>
    </row>
    <row r="318" spans="7:16" x14ac:dyDescent="0.2">
      <c r="G318" s="16"/>
      <c r="H318" s="16"/>
      <c r="I318" s="16"/>
      <c r="O318" s="16"/>
      <c r="P318" s="16"/>
    </row>
    <row r="319" spans="7:16" x14ac:dyDescent="0.2">
      <c r="G319" s="16"/>
      <c r="H319" s="16"/>
      <c r="I319" s="16"/>
      <c r="O319" s="16"/>
      <c r="P319" s="16"/>
    </row>
    <row r="320" spans="7:16" x14ac:dyDescent="0.2">
      <c r="G320" s="16"/>
      <c r="H320" s="16"/>
      <c r="I320" s="16"/>
      <c r="O320" s="16"/>
      <c r="P320" s="16"/>
    </row>
    <row r="321" spans="7:16" x14ac:dyDescent="0.2">
      <c r="G321" s="16"/>
      <c r="H321" s="16"/>
      <c r="I321" s="16"/>
      <c r="O321" s="16"/>
      <c r="P321" s="16"/>
    </row>
    <row r="322" spans="7:16" x14ac:dyDescent="0.2">
      <c r="G322" s="16"/>
      <c r="H322" s="16"/>
      <c r="I322" s="16"/>
      <c r="O322" s="16"/>
      <c r="P322" s="16"/>
    </row>
    <row r="323" spans="7:16" x14ac:dyDescent="0.2">
      <c r="G323" s="16"/>
      <c r="H323" s="16"/>
      <c r="I323" s="16"/>
      <c r="O323" s="16"/>
      <c r="P323" s="16"/>
    </row>
    <row r="324" spans="7:16" x14ac:dyDescent="0.2">
      <c r="G324" s="16"/>
      <c r="H324" s="16"/>
      <c r="I324" s="16"/>
      <c r="O324" s="16"/>
      <c r="P324" s="16"/>
    </row>
    <row r="325" spans="7:16" x14ac:dyDescent="0.2">
      <c r="G325" s="16"/>
      <c r="H325" s="16"/>
      <c r="I325" s="16"/>
      <c r="O325" s="16"/>
      <c r="P325" s="16"/>
    </row>
    <row r="326" spans="7:16" x14ac:dyDescent="0.2">
      <c r="G326" s="16"/>
      <c r="H326" s="16"/>
      <c r="I326" s="16"/>
      <c r="O326" s="16"/>
      <c r="P326" s="16"/>
    </row>
    <row r="327" spans="7:16" x14ac:dyDescent="0.2">
      <c r="G327" s="16"/>
      <c r="H327" s="16"/>
      <c r="I327" s="16"/>
      <c r="O327" s="16"/>
      <c r="P327" s="16"/>
    </row>
    <row r="328" spans="7:16" x14ac:dyDescent="0.2">
      <c r="G328" s="16"/>
      <c r="H328" s="16"/>
      <c r="I328" s="16"/>
      <c r="O328" s="16"/>
      <c r="P328" s="16"/>
    </row>
    <row r="329" spans="7:16" x14ac:dyDescent="0.2">
      <c r="G329" s="16"/>
      <c r="H329" s="16"/>
      <c r="I329" s="16"/>
      <c r="O329" s="16"/>
      <c r="P329" s="16"/>
    </row>
    <row r="330" spans="7:16" x14ac:dyDescent="0.2">
      <c r="G330" s="16"/>
      <c r="H330" s="16"/>
      <c r="I330" s="16"/>
      <c r="O330" s="16"/>
      <c r="P330" s="16"/>
    </row>
    <row r="331" spans="7:16" x14ac:dyDescent="0.2">
      <c r="G331" s="16"/>
      <c r="H331" s="16"/>
      <c r="I331" s="16"/>
      <c r="O331" s="16"/>
      <c r="P331" s="16"/>
    </row>
    <row r="332" spans="7:16" x14ac:dyDescent="0.2">
      <c r="G332" s="16"/>
      <c r="H332" s="16"/>
      <c r="I332" s="16"/>
      <c r="O332" s="16"/>
      <c r="P332" s="16"/>
    </row>
    <row r="333" spans="7:16" x14ac:dyDescent="0.2">
      <c r="G333" s="16"/>
      <c r="H333" s="16"/>
      <c r="I333" s="16"/>
      <c r="O333" s="16"/>
      <c r="P333" s="16"/>
    </row>
    <row r="334" spans="7:16" x14ac:dyDescent="0.2">
      <c r="G334" s="16"/>
      <c r="H334" s="16"/>
      <c r="I334" s="16"/>
      <c r="O334" s="16"/>
      <c r="P334" s="16"/>
    </row>
    <row r="335" spans="7:16" x14ac:dyDescent="0.2">
      <c r="G335" s="16"/>
      <c r="H335" s="16"/>
      <c r="I335" s="16"/>
      <c r="O335" s="16"/>
      <c r="P335" s="16"/>
    </row>
    <row r="336" spans="7:16" x14ac:dyDescent="0.2">
      <c r="G336" s="16"/>
      <c r="H336" s="16"/>
      <c r="I336" s="16"/>
      <c r="O336" s="16"/>
      <c r="P336" s="16"/>
    </row>
    <row r="337" spans="7:16" x14ac:dyDescent="0.2">
      <c r="G337" s="16"/>
      <c r="H337" s="16"/>
      <c r="I337" s="16"/>
      <c r="O337" s="16"/>
      <c r="P337" s="16"/>
    </row>
    <row r="338" spans="7:16" x14ac:dyDescent="0.2">
      <c r="G338" s="16"/>
      <c r="H338" s="16"/>
      <c r="I338" s="16"/>
      <c r="O338" s="16"/>
      <c r="P338" s="16"/>
    </row>
    <row r="339" spans="7:16" x14ac:dyDescent="0.2">
      <c r="G339" s="16"/>
      <c r="H339" s="16"/>
      <c r="I339" s="16"/>
      <c r="O339" s="16"/>
      <c r="P339" s="16"/>
    </row>
    <row r="340" spans="7:16" x14ac:dyDescent="0.2">
      <c r="G340" s="16"/>
      <c r="H340" s="16"/>
      <c r="I340" s="16"/>
      <c r="O340" s="16"/>
      <c r="P340" s="16"/>
    </row>
    <row r="341" spans="7:16" x14ac:dyDescent="0.2">
      <c r="G341" s="16"/>
      <c r="H341" s="16"/>
      <c r="I341" s="16"/>
      <c r="O341" s="16"/>
      <c r="P341" s="16"/>
    </row>
    <row r="342" spans="7:16" x14ac:dyDescent="0.2">
      <c r="G342" s="16"/>
      <c r="H342" s="16"/>
      <c r="I342" s="16"/>
      <c r="O342" s="16"/>
      <c r="P342" s="16"/>
    </row>
    <row r="343" spans="7:16" x14ac:dyDescent="0.2">
      <c r="G343" s="16"/>
      <c r="H343" s="16"/>
      <c r="I343" s="16"/>
      <c r="O343" s="16"/>
      <c r="P343" s="16"/>
    </row>
    <row r="344" spans="7:16" x14ac:dyDescent="0.2">
      <c r="G344" s="16"/>
      <c r="H344" s="16"/>
      <c r="I344" s="16"/>
      <c r="O344" s="16"/>
      <c r="P344" s="16"/>
    </row>
    <row r="345" spans="7:16" x14ac:dyDescent="0.2">
      <c r="G345" s="16"/>
      <c r="H345" s="16"/>
      <c r="I345" s="16"/>
      <c r="O345" s="16"/>
      <c r="P345" s="16"/>
    </row>
    <row r="346" spans="7:16" x14ac:dyDescent="0.2">
      <c r="G346" s="16"/>
      <c r="H346" s="16"/>
      <c r="I346" s="16"/>
      <c r="O346" s="16"/>
      <c r="P346" s="16"/>
    </row>
    <row r="347" spans="7:16" x14ac:dyDescent="0.2">
      <c r="G347" s="16"/>
      <c r="H347" s="16"/>
      <c r="I347" s="16"/>
      <c r="O347" s="16"/>
      <c r="P347" s="16"/>
    </row>
    <row r="348" spans="7:16" x14ac:dyDescent="0.2">
      <c r="G348" s="16"/>
      <c r="H348" s="16"/>
      <c r="O348" s="16"/>
      <c r="P348" s="16"/>
    </row>
    <row r="349" spans="7:16" x14ac:dyDescent="0.2">
      <c r="G349" s="16"/>
      <c r="H349" s="16"/>
      <c r="O349" s="16"/>
      <c r="P349" s="16"/>
    </row>
    <row r="350" spans="7:16" x14ac:dyDescent="0.2">
      <c r="G350" s="16"/>
      <c r="H350" s="16"/>
      <c r="O350" s="16"/>
      <c r="P350" s="16"/>
    </row>
    <row r="351" spans="7:16" x14ac:dyDescent="0.2">
      <c r="G351" s="16"/>
      <c r="H351" s="16"/>
      <c r="O351" s="16"/>
      <c r="P351" s="16"/>
    </row>
  </sheetData>
  <pageMargins left="0.78740157480314965" right="0.78740157480314965" top="0.98425196850393704" bottom="0.98425196850393704" header="0.51181102362204722" footer="0.51181102362204722"/>
  <pageSetup paperSize="9" scale="90" orientation="landscape"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13"/>
  <sheetViews>
    <sheetView zoomScale="85" zoomScaleNormal="85" workbookViewId="0">
      <selection activeCell="J156" sqref="J156"/>
    </sheetView>
  </sheetViews>
  <sheetFormatPr baseColWidth="10" defaultColWidth="11.44140625" defaultRowHeight="13.2" x14ac:dyDescent="0.25"/>
  <cols>
    <col min="1" max="1" width="39.109375" customWidth="1"/>
    <col min="2" max="2" width="19.88671875" style="4" customWidth="1"/>
    <col min="3" max="3" width="7" customWidth="1"/>
    <col min="4" max="4" width="15.33203125" style="43" customWidth="1"/>
    <col min="5" max="5" width="16.5546875" style="44" customWidth="1"/>
    <col min="6" max="6" width="11.5546875" style="43" customWidth="1"/>
    <col min="7" max="7" width="14.109375" style="43" customWidth="1"/>
    <col min="8" max="8" width="12.33203125" style="44" customWidth="1"/>
    <col min="9" max="9" width="10.6640625" style="43" customWidth="1"/>
    <col min="10" max="10" width="9.33203125" style="43" customWidth="1"/>
    <col min="11" max="11" width="14.6640625" style="43" customWidth="1"/>
    <col min="12" max="12" width="13.33203125" style="43" customWidth="1"/>
    <col min="13" max="13" width="10.5546875" style="43" customWidth="1"/>
    <col min="14" max="14" width="4.88671875" style="43" customWidth="1"/>
    <col min="15" max="15" width="13.44140625" style="43" customWidth="1"/>
    <col min="16" max="16" width="13.109375" style="43" customWidth="1"/>
    <col min="17" max="17" width="11.109375" style="43" customWidth="1"/>
    <col min="18" max="18" width="9.5546875" style="43" customWidth="1"/>
    <col min="19" max="19" width="11.88671875" style="43" customWidth="1"/>
    <col min="20" max="20" width="13.5546875" style="43" customWidth="1"/>
    <col min="21" max="21" width="3.109375" style="43" customWidth="1"/>
    <col min="22" max="22" width="13.109375" style="43" customWidth="1"/>
    <col min="23" max="23" width="3.88671875" style="43" customWidth="1"/>
    <col min="24" max="24" width="13.109375" style="43" customWidth="1"/>
    <col min="25" max="25" width="3.88671875" style="43" customWidth="1"/>
    <col min="26" max="26" width="20" customWidth="1"/>
  </cols>
  <sheetData>
    <row r="1" spans="1:26" ht="17.399999999999999" x14ac:dyDescent="0.3">
      <c r="B1" s="7" t="s">
        <v>78</v>
      </c>
    </row>
    <row r="2" spans="1:26" x14ac:dyDescent="0.25">
      <c r="B2" s="71" t="s">
        <v>81</v>
      </c>
      <c r="D2" s="45"/>
      <c r="E2" s="46"/>
      <c r="F2" s="45"/>
      <c r="G2" s="45"/>
      <c r="H2" s="46"/>
      <c r="I2" s="45"/>
      <c r="J2" s="45"/>
      <c r="K2" s="45"/>
      <c r="L2" s="45"/>
      <c r="M2" s="45"/>
      <c r="N2" s="45"/>
      <c r="S2" s="45"/>
      <c r="V2" s="45"/>
      <c r="W2" s="45"/>
      <c r="X2" s="45"/>
      <c r="Y2" s="45"/>
    </row>
    <row r="3" spans="1:26" x14ac:dyDescent="0.25">
      <c r="A3" s="71"/>
      <c r="B3" s="6"/>
      <c r="D3" s="70"/>
      <c r="E3" s="46"/>
      <c r="F3" s="45"/>
      <c r="G3" s="45"/>
      <c r="H3" s="46"/>
      <c r="I3" s="45"/>
      <c r="J3" s="45"/>
      <c r="K3" s="45"/>
      <c r="L3" s="45"/>
      <c r="M3" s="45"/>
      <c r="N3" s="45"/>
      <c r="O3" s="45" t="s">
        <v>69</v>
      </c>
      <c r="P3" s="45" t="s">
        <v>226</v>
      </c>
      <c r="Q3" s="124" t="s">
        <v>227</v>
      </c>
      <c r="R3" s="124" t="s">
        <v>224</v>
      </c>
      <c r="S3" s="124"/>
      <c r="T3" s="45"/>
      <c r="U3" s="45"/>
      <c r="V3" s="48" t="s">
        <v>51</v>
      </c>
      <c r="W3" s="45"/>
      <c r="X3" s="48" t="s">
        <v>51</v>
      </c>
      <c r="Y3" s="45"/>
    </row>
    <row r="4" spans="1:26" x14ac:dyDescent="0.25">
      <c r="A4" s="31" t="s">
        <v>0</v>
      </c>
      <c r="B4" s="32" t="s">
        <v>2</v>
      </c>
      <c r="D4" s="47" t="s">
        <v>36</v>
      </c>
      <c r="E4" s="47" t="s">
        <v>66</v>
      </c>
      <c r="F4" s="47" t="s">
        <v>37</v>
      </c>
      <c r="G4" s="47" t="s">
        <v>38</v>
      </c>
      <c r="H4" s="47" t="s">
        <v>65</v>
      </c>
      <c r="I4" s="47" t="s">
        <v>39</v>
      </c>
      <c r="J4" s="47" t="s">
        <v>67</v>
      </c>
      <c r="K4" s="47" t="s">
        <v>43</v>
      </c>
      <c r="L4" s="47" t="s">
        <v>40</v>
      </c>
      <c r="M4" s="47" t="s">
        <v>41</v>
      </c>
      <c r="N4" s="47"/>
      <c r="O4" s="47" t="s">
        <v>70</v>
      </c>
      <c r="P4" s="47" t="s">
        <v>68</v>
      </c>
      <c r="Q4" s="125" t="s">
        <v>225</v>
      </c>
      <c r="R4" s="125" t="s">
        <v>225</v>
      </c>
      <c r="S4" s="125" t="s">
        <v>60</v>
      </c>
      <c r="T4" s="47"/>
      <c r="U4" s="47"/>
      <c r="V4" s="48" t="s">
        <v>70</v>
      </c>
      <c r="W4" s="47"/>
      <c r="X4" s="48" t="s">
        <v>82</v>
      </c>
      <c r="Y4" s="47"/>
    </row>
    <row r="5" spans="1:26" x14ac:dyDescent="0.25">
      <c r="A5" s="31"/>
      <c r="B5" s="32"/>
      <c r="D5" s="70" t="s">
        <v>84</v>
      </c>
      <c r="E5" s="47"/>
      <c r="F5" s="47"/>
      <c r="G5" s="47"/>
      <c r="H5" s="47"/>
      <c r="I5" s="47"/>
      <c r="J5" s="47"/>
      <c r="K5" s="47"/>
      <c r="L5" s="47"/>
      <c r="M5" s="47"/>
      <c r="N5" s="47"/>
      <c r="O5" s="47"/>
      <c r="P5" s="47"/>
      <c r="Q5" s="125"/>
      <c r="R5" s="125"/>
      <c r="S5" s="125"/>
      <c r="T5" s="47"/>
      <c r="U5" s="47"/>
      <c r="V5" s="48"/>
      <c r="W5" s="47"/>
      <c r="X5" s="48"/>
      <c r="Y5" s="47"/>
    </row>
    <row r="6" spans="1:26" s="10" customFormat="1" ht="12" customHeight="1" x14ac:dyDescent="0.25">
      <c r="A6" s="31"/>
      <c r="B6" s="32"/>
      <c r="D6" s="49"/>
      <c r="E6" s="49"/>
      <c r="F6" s="49"/>
      <c r="G6" s="49"/>
      <c r="H6" s="49"/>
      <c r="I6" s="49"/>
      <c r="J6" s="49"/>
      <c r="K6" s="49"/>
      <c r="L6" s="49"/>
      <c r="M6" s="49"/>
      <c r="N6" s="49"/>
      <c r="O6" s="49"/>
      <c r="P6" s="49"/>
      <c r="Q6" s="126"/>
      <c r="R6" s="126"/>
      <c r="S6" s="126"/>
      <c r="T6" s="49"/>
      <c r="U6" s="49"/>
      <c r="V6" s="50"/>
      <c r="W6" s="49"/>
      <c r="X6" s="50"/>
      <c r="Y6" s="49"/>
    </row>
    <row r="7" spans="1:26" x14ac:dyDescent="0.25">
      <c r="A7" s="11" t="s">
        <v>3</v>
      </c>
      <c r="B7" s="33">
        <v>0.75</v>
      </c>
      <c r="D7" s="51">
        <f>37330*1.03</f>
        <v>38449.9</v>
      </c>
      <c r="E7" s="52">
        <v>318</v>
      </c>
      <c r="F7" s="51"/>
      <c r="G7" s="51"/>
      <c r="H7" s="52"/>
      <c r="I7" s="53">
        <v>5561</v>
      </c>
      <c r="J7" s="53"/>
      <c r="K7" s="53"/>
      <c r="L7" s="51">
        <f>SUM(D7:K7)*0.12</f>
        <v>5319.4679999999998</v>
      </c>
      <c r="M7" s="51">
        <f>SUM(D7:L7)*0.141</f>
        <v>7000.4198879999994</v>
      </c>
      <c r="N7" s="53"/>
      <c r="O7" s="51">
        <f>SUM(D7:N7)</f>
        <v>56648.787887999999</v>
      </c>
      <c r="P7" s="51">
        <f>+O7*B7</f>
        <v>42486.590916000001</v>
      </c>
      <c r="Q7" s="127">
        <f>+P7/1.141</f>
        <v>37236.275999999998</v>
      </c>
      <c r="R7" s="127">
        <f>+P7-Q7</f>
        <v>5250.314916000003</v>
      </c>
      <c r="S7" s="127">
        <f>+D7*0.06</f>
        <v>2306.9940000000001</v>
      </c>
      <c r="T7" s="53"/>
      <c r="U7" s="53"/>
      <c r="V7" s="54">
        <f t="shared" ref="V7:V24" si="0">+P7+S7+T7</f>
        <v>44793.584916</v>
      </c>
      <c r="W7" s="53"/>
      <c r="X7" s="54">
        <f t="shared" ref="X7:X24" si="1">+V7*$S$59</f>
        <v>134380.75474800001</v>
      </c>
      <c r="Y7" s="53"/>
    </row>
    <row r="8" spans="1:26" x14ac:dyDescent="0.25">
      <c r="A8" s="11" t="s">
        <v>4</v>
      </c>
      <c r="B8" s="33">
        <v>0.75</v>
      </c>
      <c r="D8" s="55">
        <f>33278*1.03</f>
        <v>34276.340000000004</v>
      </c>
      <c r="E8" s="52">
        <v>318</v>
      </c>
      <c r="F8" s="55">
        <v>377</v>
      </c>
      <c r="G8" s="55"/>
      <c r="H8" s="56"/>
      <c r="I8" s="55">
        <v>4061</v>
      </c>
      <c r="J8" s="55"/>
      <c r="K8" s="55"/>
      <c r="L8" s="51">
        <f t="shared" ref="L8:L24" si="2">SUM(D8:K8)*0.12</f>
        <v>4683.8807999999999</v>
      </c>
      <c r="M8" s="51">
        <f t="shared" ref="M8:M48" si="3">SUM(D8:L8)*0.141</f>
        <v>6163.9871327999999</v>
      </c>
      <c r="N8" s="53"/>
      <c r="O8" s="51">
        <f t="shared" ref="O8:O24" si="4">SUM(D8:N8)</f>
        <v>49880.207932800004</v>
      </c>
      <c r="P8" s="51">
        <f t="shared" ref="P8:P24" si="5">+O8*B8</f>
        <v>37410.155949600005</v>
      </c>
      <c r="Q8" s="127">
        <f t="shared" ref="Q8:Q24" si="6">+P8/1.141</f>
        <v>32787.1656</v>
      </c>
      <c r="R8" s="127">
        <f t="shared" ref="R8:R23" si="7">+P8-Q8</f>
        <v>4622.9903496000043</v>
      </c>
      <c r="S8" s="127">
        <f t="shared" ref="S8:S24" si="8">+D8*0.06</f>
        <v>2056.5804000000003</v>
      </c>
      <c r="T8" s="53"/>
      <c r="U8" s="53"/>
      <c r="V8" s="54">
        <f t="shared" si="0"/>
        <v>39466.736349600003</v>
      </c>
      <c r="W8" s="53"/>
      <c r="X8" s="54">
        <f t="shared" si="1"/>
        <v>118400.20904880001</v>
      </c>
      <c r="Y8" s="53"/>
    </row>
    <row r="9" spans="1:26" x14ac:dyDescent="0.25">
      <c r="A9" s="11" t="s">
        <v>5</v>
      </c>
      <c r="B9" s="33">
        <v>1</v>
      </c>
      <c r="D9" s="55">
        <f>30064*1.03</f>
        <v>30965.920000000002</v>
      </c>
      <c r="E9" s="52">
        <v>318</v>
      </c>
      <c r="F9" s="55"/>
      <c r="G9" s="55"/>
      <c r="H9" s="56"/>
      <c r="I9" s="55">
        <v>5392</v>
      </c>
      <c r="J9" s="55"/>
      <c r="K9" s="55"/>
      <c r="L9" s="51">
        <f t="shared" si="2"/>
        <v>4401.1103999999996</v>
      </c>
      <c r="M9" s="51">
        <f t="shared" si="3"/>
        <v>5791.8612863999988</v>
      </c>
      <c r="N9" s="53"/>
      <c r="O9" s="51">
        <f t="shared" si="4"/>
        <v>46868.891686399991</v>
      </c>
      <c r="P9" s="51">
        <f t="shared" si="5"/>
        <v>46868.891686399991</v>
      </c>
      <c r="Q9" s="127">
        <f t="shared" si="6"/>
        <v>41077.030399999989</v>
      </c>
      <c r="R9" s="127">
        <f t="shared" si="7"/>
        <v>5791.8612864000024</v>
      </c>
      <c r="S9" s="127">
        <f t="shared" si="8"/>
        <v>1857.9552000000001</v>
      </c>
      <c r="T9" s="53"/>
      <c r="U9" s="53"/>
      <c r="V9" s="54">
        <f t="shared" si="0"/>
        <v>48726.846886399988</v>
      </c>
      <c r="W9" s="53"/>
      <c r="X9" s="54">
        <f t="shared" si="1"/>
        <v>146180.54065919996</v>
      </c>
      <c r="Y9" s="53"/>
      <c r="Z9" s="25" t="s">
        <v>55</v>
      </c>
    </row>
    <row r="10" spans="1:26" x14ac:dyDescent="0.25">
      <c r="A10" s="11" t="s">
        <v>6</v>
      </c>
      <c r="B10" s="33">
        <v>0.75</v>
      </c>
      <c r="D10" s="43">
        <f>30316*1.03</f>
        <v>31225.48</v>
      </c>
      <c r="E10" s="52">
        <v>318</v>
      </c>
      <c r="F10" s="43">
        <v>3276</v>
      </c>
      <c r="I10" s="43">
        <v>5744</v>
      </c>
      <c r="L10" s="51">
        <f t="shared" si="2"/>
        <v>4867.6175999999996</v>
      </c>
      <c r="M10" s="51">
        <f t="shared" si="3"/>
        <v>6405.7847615999981</v>
      </c>
      <c r="N10" s="53"/>
      <c r="O10" s="51">
        <f t="shared" si="4"/>
        <v>51836.882361599994</v>
      </c>
      <c r="P10" s="51">
        <f t="shared" si="5"/>
        <v>38877.661771199993</v>
      </c>
      <c r="Q10" s="127">
        <f t="shared" si="6"/>
        <v>34073.323199999992</v>
      </c>
      <c r="R10" s="127">
        <f t="shared" si="7"/>
        <v>4804.3385712000018</v>
      </c>
      <c r="S10" s="127">
        <f t="shared" si="8"/>
        <v>1873.5287999999998</v>
      </c>
      <c r="T10" s="53"/>
      <c r="U10" s="53"/>
      <c r="V10" s="54">
        <f t="shared" si="0"/>
        <v>40751.190571199993</v>
      </c>
      <c r="W10" s="53"/>
      <c r="X10" s="54">
        <f t="shared" si="1"/>
        <v>122253.57171359999</v>
      </c>
      <c r="Y10" s="53"/>
      <c r="Z10" s="24" t="s">
        <v>56</v>
      </c>
    </row>
    <row r="11" spans="1:26" x14ac:dyDescent="0.25">
      <c r="A11" s="11" t="s">
        <v>7</v>
      </c>
      <c r="B11" s="33">
        <v>1</v>
      </c>
      <c r="D11" s="43">
        <f>31148*1.03</f>
        <v>32082.440000000002</v>
      </c>
      <c r="E11" s="52">
        <v>318</v>
      </c>
      <c r="I11" s="43">
        <v>5317</v>
      </c>
      <c r="L11" s="51">
        <f t="shared" si="2"/>
        <v>4526.0928000000004</v>
      </c>
      <c r="M11" s="51">
        <f t="shared" si="3"/>
        <v>5956.3381247999996</v>
      </c>
      <c r="N11" s="53"/>
      <c r="O11" s="51">
        <f t="shared" si="4"/>
        <v>48199.870924800001</v>
      </c>
      <c r="P11" s="51">
        <f t="shared" si="5"/>
        <v>48199.870924800001</v>
      </c>
      <c r="Q11" s="127">
        <f t="shared" si="6"/>
        <v>42243.532800000001</v>
      </c>
      <c r="R11" s="127">
        <f t="shared" si="7"/>
        <v>5956.3381248000005</v>
      </c>
      <c r="S11" s="127">
        <f t="shared" si="8"/>
        <v>1924.9464</v>
      </c>
      <c r="T11" s="53"/>
      <c r="U11" s="53"/>
      <c r="V11" s="54">
        <f t="shared" si="0"/>
        <v>50124.817324800002</v>
      </c>
      <c r="W11" s="53"/>
      <c r="X11" s="54">
        <f t="shared" si="1"/>
        <v>150374.4519744</v>
      </c>
      <c r="Y11" s="53"/>
      <c r="Z11" s="25" t="s">
        <v>57</v>
      </c>
    </row>
    <row r="12" spans="1:26" x14ac:dyDescent="0.25">
      <c r="A12" s="11" t="s">
        <v>8</v>
      </c>
      <c r="B12" s="33">
        <v>0.75</v>
      </c>
      <c r="D12" s="43">
        <f>32943*1.03</f>
        <v>33931.29</v>
      </c>
      <c r="E12" s="52">
        <v>318</v>
      </c>
      <c r="F12" s="43">
        <v>747</v>
      </c>
      <c r="I12" s="43">
        <v>5561</v>
      </c>
      <c r="L12" s="51">
        <f t="shared" si="2"/>
        <v>4866.8747999999996</v>
      </c>
      <c r="M12" s="51">
        <f t="shared" si="3"/>
        <v>6404.8072367999994</v>
      </c>
      <c r="N12" s="53"/>
      <c r="O12" s="51">
        <f t="shared" si="4"/>
        <v>51828.972036799998</v>
      </c>
      <c r="P12" s="51">
        <f t="shared" si="5"/>
        <v>38871.729027599999</v>
      </c>
      <c r="Q12" s="127">
        <f t="shared" si="6"/>
        <v>34068.123599999999</v>
      </c>
      <c r="R12" s="127">
        <f t="shared" si="7"/>
        <v>4803.6054275999995</v>
      </c>
      <c r="S12" s="127">
        <f t="shared" si="8"/>
        <v>2035.8774000000001</v>
      </c>
      <c r="T12" s="53"/>
      <c r="U12" s="53"/>
      <c r="V12" s="54">
        <f t="shared" si="0"/>
        <v>40907.606427599996</v>
      </c>
      <c r="W12" s="53"/>
      <c r="X12" s="54">
        <f t="shared" si="1"/>
        <v>122722.81928279999</v>
      </c>
      <c r="Y12" s="53"/>
      <c r="Z12" s="23" t="s">
        <v>58</v>
      </c>
    </row>
    <row r="13" spans="1:26" x14ac:dyDescent="0.25">
      <c r="A13" s="11" t="s">
        <v>13</v>
      </c>
      <c r="B13" s="33">
        <v>0.25</v>
      </c>
      <c r="D13" s="43">
        <f>33421*1.03</f>
        <v>34423.629999999997</v>
      </c>
      <c r="E13" s="52">
        <v>318</v>
      </c>
      <c r="I13" s="43">
        <v>5583</v>
      </c>
      <c r="L13" s="51">
        <f t="shared" si="2"/>
        <v>4838.9555999999993</v>
      </c>
      <c r="M13" s="51">
        <f t="shared" si="3"/>
        <v>6368.0655695999994</v>
      </c>
      <c r="N13" s="53"/>
      <c r="O13" s="51">
        <f t="shared" si="4"/>
        <v>51531.651169599994</v>
      </c>
      <c r="P13" s="51">
        <f t="shared" si="5"/>
        <v>12882.912792399999</v>
      </c>
      <c r="Q13" s="127">
        <f t="shared" si="6"/>
        <v>11290.896399999998</v>
      </c>
      <c r="R13" s="127">
        <f t="shared" si="7"/>
        <v>1592.0163924000008</v>
      </c>
      <c r="S13" s="127">
        <f t="shared" si="8"/>
        <v>2065.4177999999997</v>
      </c>
      <c r="T13" s="53"/>
      <c r="U13" s="53"/>
      <c r="V13" s="54">
        <f t="shared" si="0"/>
        <v>14948.330592399998</v>
      </c>
      <c r="W13" s="53"/>
      <c r="X13" s="54">
        <f t="shared" si="1"/>
        <v>44844.99177719999</v>
      </c>
      <c r="Y13" s="53"/>
      <c r="Z13" s="10"/>
    </row>
    <row r="14" spans="1:26" x14ac:dyDescent="0.25">
      <c r="A14" s="11" t="s">
        <v>14</v>
      </c>
      <c r="B14" s="33">
        <v>0.25</v>
      </c>
      <c r="D14" s="43">
        <f>33696*1.03</f>
        <v>34706.879999999997</v>
      </c>
      <c r="E14" s="52">
        <v>318</v>
      </c>
      <c r="F14" s="43">
        <v>764</v>
      </c>
      <c r="I14" s="43">
        <v>10061</v>
      </c>
      <c r="L14" s="51">
        <f t="shared" si="2"/>
        <v>5501.9855999999991</v>
      </c>
      <c r="M14" s="51">
        <f t="shared" si="3"/>
        <v>7240.6130495999987</v>
      </c>
      <c r="N14" s="53"/>
      <c r="O14" s="51">
        <f t="shared" si="4"/>
        <v>58592.478649599994</v>
      </c>
      <c r="P14" s="51">
        <f t="shared" si="5"/>
        <v>14648.119662399999</v>
      </c>
      <c r="Q14" s="127">
        <f t="shared" si="6"/>
        <v>12837.966399999999</v>
      </c>
      <c r="R14" s="127">
        <f t="shared" si="7"/>
        <v>1810.1532623999992</v>
      </c>
      <c r="S14" s="127">
        <f t="shared" si="8"/>
        <v>2082.4127999999996</v>
      </c>
      <c r="T14" s="53"/>
      <c r="U14" s="53"/>
      <c r="V14" s="54">
        <f t="shared" si="0"/>
        <v>16730.532462399999</v>
      </c>
      <c r="W14" s="53"/>
      <c r="X14" s="54">
        <f t="shared" si="1"/>
        <v>50191.597387199996</v>
      </c>
      <c r="Y14" s="53"/>
    </row>
    <row r="15" spans="1:26" x14ac:dyDescent="0.25">
      <c r="A15" s="11" t="s">
        <v>18</v>
      </c>
      <c r="B15" s="33">
        <v>0.25</v>
      </c>
      <c r="D15" s="43">
        <f>34653*1.03</f>
        <v>35692.590000000004</v>
      </c>
      <c r="E15" s="52">
        <v>318</v>
      </c>
      <c r="I15" s="43">
        <v>4349</v>
      </c>
      <c r="L15" s="51">
        <f t="shared" si="2"/>
        <v>4843.1508000000003</v>
      </c>
      <c r="M15" s="51">
        <f t="shared" si="3"/>
        <v>6373.5864528000002</v>
      </c>
      <c r="N15" s="53"/>
      <c r="O15" s="51">
        <f t="shared" si="4"/>
        <v>51576.327252800009</v>
      </c>
      <c r="P15" s="51">
        <f t="shared" si="5"/>
        <v>12894.081813200002</v>
      </c>
      <c r="Q15" s="127">
        <f t="shared" si="6"/>
        <v>11300.685200000002</v>
      </c>
      <c r="R15" s="127">
        <f t="shared" si="7"/>
        <v>1593.3966132000005</v>
      </c>
      <c r="S15" s="127">
        <f t="shared" si="8"/>
        <v>2141.5554000000002</v>
      </c>
      <c r="T15" s="53"/>
      <c r="U15" s="53"/>
      <c r="V15" s="54">
        <f t="shared" si="0"/>
        <v>15035.637213200003</v>
      </c>
      <c r="W15" s="53"/>
      <c r="X15" s="54">
        <f t="shared" si="1"/>
        <v>45106.91163960001</v>
      </c>
      <c r="Y15" s="53"/>
    </row>
    <row r="16" spans="1:26" x14ac:dyDescent="0.25">
      <c r="A16" s="11" t="s">
        <v>15</v>
      </c>
      <c r="B16" s="33">
        <v>0.25</v>
      </c>
      <c r="D16" s="43">
        <f>35443*1.03</f>
        <v>36506.29</v>
      </c>
      <c r="E16" s="52">
        <v>318</v>
      </c>
      <c r="F16" s="43">
        <v>1607</v>
      </c>
      <c r="I16" s="43">
        <v>3766</v>
      </c>
      <c r="L16" s="51">
        <f t="shared" si="2"/>
        <v>5063.6747999999998</v>
      </c>
      <c r="M16" s="51">
        <f t="shared" si="3"/>
        <v>6663.7960367999995</v>
      </c>
      <c r="N16" s="53"/>
      <c r="O16" s="51">
        <f t="shared" si="4"/>
        <v>53924.7608368</v>
      </c>
      <c r="P16" s="51">
        <f t="shared" si="5"/>
        <v>13481.1902092</v>
      </c>
      <c r="Q16" s="127">
        <f t="shared" si="6"/>
        <v>11815.2412</v>
      </c>
      <c r="R16" s="127">
        <f t="shared" si="7"/>
        <v>1665.9490091999996</v>
      </c>
      <c r="S16" s="127">
        <f t="shared" si="8"/>
        <v>2190.3773999999999</v>
      </c>
      <c r="T16" s="53"/>
      <c r="U16" s="53"/>
      <c r="V16" s="54">
        <f t="shared" si="0"/>
        <v>15671.567609199999</v>
      </c>
      <c r="W16" s="53"/>
      <c r="X16" s="54">
        <f t="shared" si="1"/>
        <v>47014.702827599998</v>
      </c>
      <c r="Y16" s="53"/>
    </row>
    <row r="17" spans="1:25" x14ac:dyDescent="0.25">
      <c r="A17" s="11" t="s">
        <v>16</v>
      </c>
      <c r="B17" s="33">
        <v>0.25</v>
      </c>
      <c r="D17" s="43">
        <f>38247*1.03</f>
        <v>39394.410000000003</v>
      </c>
      <c r="E17" s="52">
        <v>318</v>
      </c>
      <c r="F17" s="43">
        <v>3034</v>
      </c>
      <c r="I17" s="43">
        <v>3416</v>
      </c>
      <c r="L17" s="51">
        <f t="shared" si="2"/>
        <v>5539.4892</v>
      </c>
      <c r="M17" s="51">
        <f t="shared" si="3"/>
        <v>7289.9677871999993</v>
      </c>
      <c r="N17" s="53"/>
      <c r="O17" s="51">
        <f t="shared" si="4"/>
        <v>58991.866987200003</v>
      </c>
      <c r="P17" s="51">
        <f t="shared" si="5"/>
        <v>14747.966746800001</v>
      </c>
      <c r="Q17" s="127">
        <f t="shared" si="6"/>
        <v>12925.4748</v>
      </c>
      <c r="R17" s="127">
        <f t="shared" si="7"/>
        <v>1822.4919468000007</v>
      </c>
      <c r="S17" s="127">
        <f t="shared" si="8"/>
        <v>2363.6646000000001</v>
      </c>
      <c r="T17" s="53"/>
      <c r="U17" s="53"/>
      <c r="V17" s="54">
        <f t="shared" si="0"/>
        <v>17111.631346800001</v>
      </c>
      <c r="W17" s="53"/>
      <c r="X17" s="54">
        <f t="shared" si="1"/>
        <v>51334.894040400002</v>
      </c>
      <c r="Y17" s="53"/>
    </row>
    <row r="18" spans="1:25" x14ac:dyDescent="0.25">
      <c r="A18" s="11" t="s">
        <v>17</v>
      </c>
      <c r="B18" s="33">
        <v>0.25</v>
      </c>
      <c r="D18" s="43">
        <f>34943*1.03</f>
        <v>35991.29</v>
      </c>
      <c r="E18" s="52">
        <v>318</v>
      </c>
      <c r="F18" s="43">
        <v>396</v>
      </c>
      <c r="I18" s="43">
        <v>2952</v>
      </c>
      <c r="L18" s="51">
        <f t="shared" si="2"/>
        <v>4758.8747999999996</v>
      </c>
      <c r="M18" s="51">
        <f t="shared" si="3"/>
        <v>6262.6792367999988</v>
      </c>
      <c r="N18" s="53"/>
      <c r="O18" s="51">
        <f t="shared" si="4"/>
        <v>50678.844036800001</v>
      </c>
      <c r="P18" s="51">
        <f t="shared" si="5"/>
        <v>12669.7110092</v>
      </c>
      <c r="Q18" s="127">
        <f t="shared" si="6"/>
        <v>11104.0412</v>
      </c>
      <c r="R18" s="127">
        <f t="shared" si="7"/>
        <v>1565.6698092000006</v>
      </c>
      <c r="S18" s="127">
        <f t="shared" si="8"/>
        <v>2159.4773999999998</v>
      </c>
      <c r="T18" s="53"/>
      <c r="U18" s="53"/>
      <c r="V18" s="54">
        <f t="shared" si="0"/>
        <v>14829.1884092</v>
      </c>
      <c r="W18" s="53"/>
      <c r="X18" s="54">
        <f t="shared" si="1"/>
        <v>44487.565227600004</v>
      </c>
      <c r="Y18" s="53"/>
    </row>
    <row r="19" spans="1:25" x14ac:dyDescent="0.25">
      <c r="A19" s="11" t="s">
        <v>10</v>
      </c>
      <c r="B19" s="33">
        <v>1</v>
      </c>
      <c r="D19" s="43">
        <f>31148*1.03</f>
        <v>32082.440000000002</v>
      </c>
      <c r="E19" s="52">
        <v>318</v>
      </c>
      <c r="F19" s="43">
        <v>8472</v>
      </c>
      <c r="H19" s="44">
        <v>1000</v>
      </c>
      <c r="I19" s="43">
        <v>349</v>
      </c>
      <c r="J19" s="43">
        <v>-280</v>
      </c>
      <c r="L19" s="51">
        <f t="shared" si="2"/>
        <v>5032.9728000000005</v>
      </c>
      <c r="M19" s="51">
        <f t="shared" si="3"/>
        <v>6623.3922048000004</v>
      </c>
      <c r="N19" s="53"/>
      <c r="O19" s="51">
        <f t="shared" si="4"/>
        <v>53597.805004800008</v>
      </c>
      <c r="P19" s="51">
        <f t="shared" si="5"/>
        <v>53597.805004800008</v>
      </c>
      <c r="Q19" s="127">
        <f t="shared" si="6"/>
        <v>46974.412800000006</v>
      </c>
      <c r="R19" s="127">
        <f t="shared" si="7"/>
        <v>6623.3922048000022</v>
      </c>
      <c r="S19" s="127">
        <f t="shared" si="8"/>
        <v>1924.9464</v>
      </c>
      <c r="T19" s="53"/>
      <c r="U19" s="53"/>
      <c r="V19" s="54">
        <f t="shared" si="0"/>
        <v>55522.751404800008</v>
      </c>
      <c r="W19" s="53"/>
      <c r="X19" s="54">
        <f t="shared" si="1"/>
        <v>166568.25421440002</v>
      </c>
      <c r="Y19" s="53"/>
    </row>
    <row r="20" spans="1:25" x14ac:dyDescent="0.25">
      <c r="A20" s="11" t="s">
        <v>11</v>
      </c>
      <c r="B20" s="33">
        <v>1</v>
      </c>
      <c r="D20" s="43">
        <f>33903*1.03</f>
        <v>34920.090000000004</v>
      </c>
      <c r="E20" s="52">
        <v>318</v>
      </c>
      <c r="F20" s="43">
        <v>384</v>
      </c>
      <c r="H20" s="44">
        <v>1000</v>
      </c>
      <c r="I20" s="43">
        <v>13931</v>
      </c>
      <c r="L20" s="51">
        <f t="shared" si="2"/>
        <v>6066.3708000000006</v>
      </c>
      <c r="M20" s="51">
        <f t="shared" si="3"/>
        <v>7983.3439727999994</v>
      </c>
      <c r="N20" s="53"/>
      <c r="O20" s="51">
        <f t="shared" si="4"/>
        <v>64602.804772800002</v>
      </c>
      <c r="P20" s="51">
        <f t="shared" si="5"/>
        <v>64602.804772800002</v>
      </c>
      <c r="Q20" s="127">
        <f t="shared" si="6"/>
        <v>56619.460800000001</v>
      </c>
      <c r="R20" s="127">
        <f t="shared" si="7"/>
        <v>7983.3439728000012</v>
      </c>
      <c r="S20" s="127">
        <f t="shared" si="8"/>
        <v>2095.2054000000003</v>
      </c>
      <c r="T20" s="53"/>
      <c r="U20" s="53"/>
      <c r="V20" s="54">
        <f t="shared" si="0"/>
        <v>66698.010172800001</v>
      </c>
      <c r="W20" s="53"/>
      <c r="X20" s="54">
        <f t="shared" si="1"/>
        <v>200094.03051840002</v>
      </c>
      <c r="Y20" s="53"/>
    </row>
    <row r="21" spans="1:25" x14ac:dyDescent="0.25">
      <c r="A21" s="11" t="s">
        <v>12</v>
      </c>
      <c r="B21" s="34"/>
      <c r="D21" s="43">
        <f>34945*1.03</f>
        <v>35993.35</v>
      </c>
      <c r="E21" s="52">
        <v>318</v>
      </c>
      <c r="F21" s="43">
        <v>392</v>
      </c>
      <c r="H21" s="44">
        <v>1000</v>
      </c>
      <c r="I21" s="43">
        <v>6958</v>
      </c>
      <c r="L21" s="51">
        <f t="shared" si="2"/>
        <v>5359.3620000000001</v>
      </c>
      <c r="M21" s="51">
        <f t="shared" si="3"/>
        <v>7052.9203919999991</v>
      </c>
      <c r="N21" s="53"/>
      <c r="O21" s="51">
        <f t="shared" si="4"/>
        <v>57073.632392</v>
      </c>
      <c r="P21" s="51">
        <f t="shared" si="5"/>
        <v>0</v>
      </c>
      <c r="Q21" s="127">
        <f t="shared" si="6"/>
        <v>0</v>
      </c>
      <c r="R21" s="127">
        <f t="shared" si="7"/>
        <v>0</v>
      </c>
      <c r="S21" s="127">
        <f t="shared" si="8"/>
        <v>2159.6009999999997</v>
      </c>
      <c r="T21" s="53"/>
      <c r="U21" s="53"/>
      <c r="V21" s="54">
        <f t="shared" si="0"/>
        <v>2159.6009999999997</v>
      </c>
      <c r="W21" s="53"/>
      <c r="X21" s="54">
        <f t="shared" si="1"/>
        <v>6478.802999999999</v>
      </c>
      <c r="Y21" s="53"/>
    </row>
    <row r="22" spans="1:25" x14ac:dyDescent="0.25">
      <c r="A22" s="11" t="s">
        <v>19</v>
      </c>
      <c r="B22" s="34">
        <v>0.25</v>
      </c>
      <c r="D22" s="43">
        <f>34267*1.03</f>
        <v>35295.01</v>
      </c>
      <c r="E22" s="52">
        <v>318</v>
      </c>
      <c r="H22" s="44">
        <v>1000</v>
      </c>
      <c r="I22" s="43">
        <v>1684</v>
      </c>
      <c r="L22" s="51">
        <f t="shared" si="2"/>
        <v>4595.6412</v>
      </c>
      <c r="M22" s="51">
        <f t="shared" si="3"/>
        <v>6047.8638191999999</v>
      </c>
      <c r="N22" s="53"/>
      <c r="O22" s="51">
        <f t="shared" si="4"/>
        <v>48940.5150192</v>
      </c>
      <c r="P22" s="51">
        <f t="shared" si="5"/>
        <v>12235.1287548</v>
      </c>
      <c r="Q22" s="127">
        <f t="shared" si="6"/>
        <v>10723.1628</v>
      </c>
      <c r="R22" s="127">
        <f t="shared" si="7"/>
        <v>1511.9659548</v>
      </c>
      <c r="S22" s="127">
        <f t="shared" si="8"/>
        <v>2117.7006000000001</v>
      </c>
      <c r="T22" s="53"/>
      <c r="U22" s="53"/>
      <c r="V22" s="54">
        <f t="shared" si="0"/>
        <v>14352.8293548</v>
      </c>
      <c r="W22" s="53"/>
      <c r="X22" s="54">
        <f t="shared" si="1"/>
        <v>43058.4880644</v>
      </c>
      <c r="Y22" s="53"/>
    </row>
    <row r="23" spans="1:25" x14ac:dyDescent="0.25">
      <c r="A23" s="11" t="s">
        <v>20</v>
      </c>
      <c r="B23" s="34">
        <v>0.25</v>
      </c>
      <c r="D23" s="43">
        <f>41654*1.03</f>
        <v>42903.62</v>
      </c>
      <c r="E23" s="52">
        <v>318</v>
      </c>
      <c r="I23" s="43">
        <v>4330</v>
      </c>
      <c r="J23" s="43">
        <v>-280</v>
      </c>
      <c r="L23" s="51">
        <f t="shared" si="2"/>
        <v>5672.5944</v>
      </c>
      <c r="M23" s="51">
        <f t="shared" si="3"/>
        <v>7465.1342304</v>
      </c>
      <c r="N23" s="53"/>
      <c r="O23" s="51">
        <f t="shared" si="4"/>
        <v>60409.348630400003</v>
      </c>
      <c r="P23" s="51">
        <f t="shared" si="5"/>
        <v>15102.337157600001</v>
      </c>
      <c r="Q23" s="127">
        <f t="shared" si="6"/>
        <v>13236.053600000001</v>
      </c>
      <c r="R23" s="127">
        <f t="shared" si="7"/>
        <v>1866.2835575999998</v>
      </c>
      <c r="S23" s="127">
        <f t="shared" si="8"/>
        <v>2574.2172</v>
      </c>
      <c r="T23" s="53"/>
      <c r="U23" s="53"/>
      <c r="V23" s="54">
        <f t="shared" si="0"/>
        <v>17676.554357600002</v>
      </c>
      <c r="W23" s="53"/>
      <c r="X23" s="54">
        <f t="shared" si="1"/>
        <v>53029.663072800002</v>
      </c>
      <c r="Y23" s="53"/>
    </row>
    <row r="24" spans="1:25" x14ac:dyDescent="0.25">
      <c r="A24" s="11" t="s">
        <v>64</v>
      </c>
      <c r="B24" s="33">
        <v>0.5</v>
      </c>
      <c r="D24" s="43">
        <f>64750*1.03</f>
        <v>66692.5</v>
      </c>
      <c r="E24" s="52"/>
      <c r="L24" s="51">
        <f t="shared" si="2"/>
        <v>8003.0999999999995</v>
      </c>
      <c r="M24" s="51">
        <f>SUM(D24:L24)*0.141</f>
        <v>10532.079599999999</v>
      </c>
      <c r="N24" s="53"/>
      <c r="O24" s="51">
        <f t="shared" si="4"/>
        <v>85227.679600000003</v>
      </c>
      <c r="P24" s="51">
        <f t="shared" si="5"/>
        <v>42613.839800000002</v>
      </c>
      <c r="Q24" s="127">
        <f t="shared" si="6"/>
        <v>37347.800000000003</v>
      </c>
      <c r="R24" s="127">
        <f>+P24-Q24</f>
        <v>5266.0397999999986</v>
      </c>
      <c r="S24" s="127">
        <f t="shared" si="8"/>
        <v>4001.5499999999997</v>
      </c>
      <c r="T24" s="53"/>
      <c r="U24" s="53"/>
      <c r="V24" s="54">
        <f t="shared" si="0"/>
        <v>46615.389800000004</v>
      </c>
      <c r="W24" s="53"/>
      <c r="X24" s="54">
        <f t="shared" si="1"/>
        <v>139846.16940000001</v>
      </c>
      <c r="Y24" s="53"/>
    </row>
    <row r="25" spans="1:25" x14ac:dyDescent="0.25">
      <c r="A25" s="31" t="s">
        <v>59</v>
      </c>
      <c r="B25" s="35">
        <f>SUM(B7:B24)</f>
        <v>9.5</v>
      </c>
      <c r="D25" s="57">
        <f t="shared" ref="D25:L25" si="9">SUM(D7:D24)</f>
        <v>665533.47</v>
      </c>
      <c r="E25" s="58">
        <f t="shared" si="9"/>
        <v>5406</v>
      </c>
      <c r="F25" s="57">
        <f t="shared" si="9"/>
        <v>19449</v>
      </c>
      <c r="G25" s="57">
        <f t="shared" si="9"/>
        <v>0</v>
      </c>
      <c r="H25" s="58">
        <f t="shared" si="9"/>
        <v>4000</v>
      </c>
      <c r="I25" s="57">
        <f t="shared" si="9"/>
        <v>89015</v>
      </c>
      <c r="J25" s="57">
        <f t="shared" si="9"/>
        <v>-560</v>
      </c>
      <c r="K25" s="57">
        <f t="shared" si="9"/>
        <v>0</v>
      </c>
      <c r="L25" s="57">
        <f t="shared" si="9"/>
        <v>93941.216400000005</v>
      </c>
      <c r="M25" s="57">
        <f>SUM(M7:M24)</f>
        <v>123626.64078239998</v>
      </c>
      <c r="N25" s="57"/>
      <c r="O25" s="57">
        <f>SUM(O7:O24)</f>
        <v>1000411.3271824</v>
      </c>
      <c r="P25" s="57">
        <f>SUM(P7:P24)</f>
        <v>522190.79799880006</v>
      </c>
      <c r="Q25" s="128">
        <f>SUM(Q7:Q24)</f>
        <v>457660.64679999993</v>
      </c>
      <c r="R25" s="128">
        <f>SUM(R7:R24)</f>
        <v>64530.151198800013</v>
      </c>
      <c r="S25" s="128">
        <f>SUM(S7:S24)</f>
        <v>39932.008199999997</v>
      </c>
      <c r="T25" s="57"/>
      <c r="U25" s="57"/>
      <c r="V25" s="59">
        <f>SUM(V7:V24)</f>
        <v>562122.80619879998</v>
      </c>
      <c r="W25" s="83"/>
      <c r="X25" s="59">
        <f>SUM(X7:X24)</f>
        <v>1686368.4185963999</v>
      </c>
      <c r="Y25" s="83"/>
    </row>
    <row r="26" spans="1:25" s="10" customFormat="1" ht="8.25" customHeight="1" x14ac:dyDescent="0.25">
      <c r="A26" s="31"/>
      <c r="B26" s="29"/>
      <c r="D26" s="60"/>
      <c r="E26" s="61"/>
      <c r="F26" s="60"/>
      <c r="G26" s="60"/>
      <c r="H26" s="61"/>
      <c r="I26" s="60"/>
      <c r="J26" s="60"/>
      <c r="K26" s="60"/>
      <c r="L26" s="53"/>
      <c r="M26" s="53"/>
      <c r="N26" s="60"/>
      <c r="O26" s="53"/>
      <c r="P26" s="53"/>
      <c r="Q26" s="127"/>
      <c r="R26" s="127"/>
      <c r="S26" s="129"/>
      <c r="T26" s="60"/>
      <c r="U26" s="60"/>
      <c r="V26" s="54"/>
      <c r="W26" s="53"/>
      <c r="X26" s="54"/>
      <c r="Y26" s="53"/>
    </row>
    <row r="27" spans="1:25" x14ac:dyDescent="0.25">
      <c r="A27" s="1" t="s">
        <v>21</v>
      </c>
      <c r="B27" s="36">
        <v>1</v>
      </c>
      <c r="D27" s="43">
        <f>27332*1.03</f>
        <v>28151.96</v>
      </c>
      <c r="E27" s="44">
        <v>318</v>
      </c>
      <c r="I27" s="43">
        <v>349</v>
      </c>
      <c r="L27" s="51">
        <f>SUM(D27:K27)*0.12</f>
        <v>3458.2751999999996</v>
      </c>
      <c r="M27" s="51">
        <f t="shared" si="3"/>
        <v>4551.0901631999996</v>
      </c>
      <c r="N27" s="53"/>
      <c r="O27" s="51">
        <f>SUM(D27:N27)</f>
        <v>36828.325363199998</v>
      </c>
      <c r="P27" s="51">
        <f>+O27*B27</f>
        <v>36828.325363199998</v>
      </c>
      <c r="Q27" s="127">
        <f>+P27/1.141</f>
        <v>32277.235199999999</v>
      </c>
      <c r="R27" s="127">
        <f>+P27-Q27</f>
        <v>4551.0901631999986</v>
      </c>
      <c r="S27" s="127">
        <f>+D27*0.06</f>
        <v>1689.1175999999998</v>
      </c>
      <c r="T27" s="53"/>
      <c r="U27" s="53"/>
      <c r="V27" s="54">
        <f>+P27+S27+T27</f>
        <v>38517.442963199996</v>
      </c>
      <c r="W27" s="53"/>
      <c r="X27" s="54">
        <f>+V27*$S$59</f>
        <v>115552.32888959999</v>
      </c>
      <c r="Y27" s="53"/>
    </row>
    <row r="28" spans="1:25" x14ac:dyDescent="0.25">
      <c r="A28" s="1" t="s">
        <v>21</v>
      </c>
      <c r="B28" s="36">
        <v>-0.5</v>
      </c>
      <c r="L28" s="51">
        <f>SUM(D28:K28)*0.12</f>
        <v>0</v>
      </c>
      <c r="M28" s="51">
        <f t="shared" si="3"/>
        <v>0</v>
      </c>
      <c r="N28" s="53"/>
      <c r="O28" s="51">
        <f>SUM(D28:N28)</f>
        <v>0</v>
      </c>
      <c r="P28" s="51">
        <f>+O28*B28</f>
        <v>0</v>
      </c>
      <c r="Q28" s="127">
        <f>+P28/1.141</f>
        <v>0</v>
      </c>
      <c r="R28" s="127">
        <f>+P28-Q28</f>
        <v>0</v>
      </c>
      <c r="S28" s="127">
        <f>+D28*0.06</f>
        <v>0</v>
      </c>
      <c r="T28" s="53"/>
      <c r="U28" s="53"/>
      <c r="V28" s="54">
        <f>+P28+S28+T28</f>
        <v>0</v>
      </c>
      <c r="W28" s="53"/>
      <c r="X28" s="54">
        <f>+V28*$S$59</f>
        <v>0</v>
      </c>
      <c r="Y28" s="53"/>
    </row>
    <row r="29" spans="1:25" x14ac:dyDescent="0.25">
      <c r="A29" s="1" t="s">
        <v>22</v>
      </c>
      <c r="B29" s="36">
        <v>0.75</v>
      </c>
      <c r="D29" s="43">
        <f>40163*1.03</f>
        <v>41367.89</v>
      </c>
      <c r="E29" s="44">
        <v>318</v>
      </c>
      <c r="I29" s="43">
        <v>349</v>
      </c>
      <c r="L29" s="51">
        <f>SUM(D29:K29)*0.12</f>
        <v>5044.1867999999995</v>
      </c>
      <c r="M29" s="51">
        <f t="shared" si="3"/>
        <v>6638.1498287999984</v>
      </c>
      <c r="N29" s="53"/>
      <c r="O29" s="51">
        <f>SUM(D29:N29)</f>
        <v>53717.226628799996</v>
      </c>
      <c r="P29" s="51">
        <f>+O29*B29</f>
        <v>40287.9199716</v>
      </c>
      <c r="Q29" s="127">
        <f>+P29/1.141</f>
        <v>35309.3076</v>
      </c>
      <c r="R29" s="127">
        <f>+P29-Q29</f>
        <v>4978.6123716000002</v>
      </c>
      <c r="S29" s="127">
        <f>+D29*0.06</f>
        <v>2482.0733999999998</v>
      </c>
      <c r="T29" s="53"/>
      <c r="U29" s="53"/>
      <c r="V29" s="54">
        <f>+P29+S29+T29</f>
        <v>42769.993371600001</v>
      </c>
      <c r="W29" s="53"/>
      <c r="X29" s="54">
        <f>+V29*$S$59</f>
        <v>128309.98011480001</v>
      </c>
      <c r="Y29" s="53"/>
    </row>
    <row r="30" spans="1:25" x14ac:dyDescent="0.25">
      <c r="A30" s="11" t="s">
        <v>23</v>
      </c>
      <c r="B30" s="36">
        <v>1</v>
      </c>
      <c r="D30" s="43">
        <f>31148*1.03</f>
        <v>32082.440000000002</v>
      </c>
      <c r="E30" s="44">
        <v>318</v>
      </c>
      <c r="F30" s="43">
        <v>3707</v>
      </c>
      <c r="I30" s="43">
        <v>4817</v>
      </c>
      <c r="L30" s="51">
        <f>SUM(D30:K30)*0.12</f>
        <v>4910.9328000000005</v>
      </c>
      <c r="M30" s="51">
        <f t="shared" si="3"/>
        <v>6462.7875647999999</v>
      </c>
      <c r="N30" s="53"/>
      <c r="O30" s="51">
        <f>SUM(D30:N30)</f>
        <v>52298.160364800002</v>
      </c>
      <c r="P30" s="51">
        <f>+O30*B30</f>
        <v>52298.160364800002</v>
      </c>
      <c r="Q30" s="127">
        <f>+P30/1.141</f>
        <v>45835.372800000005</v>
      </c>
      <c r="R30" s="127">
        <f>+P30-Q30</f>
        <v>6462.7875647999972</v>
      </c>
      <c r="S30" s="127">
        <f>+D30*0.06</f>
        <v>1924.9464</v>
      </c>
      <c r="T30" s="53"/>
      <c r="U30" s="53"/>
      <c r="V30" s="54">
        <f>+P30+S30+T30</f>
        <v>54223.106764800003</v>
      </c>
      <c r="W30" s="53"/>
      <c r="X30" s="54">
        <f>+V30*$S$59</f>
        <v>162669.32029440001</v>
      </c>
      <c r="Y30" s="53"/>
    </row>
    <row r="31" spans="1:25" x14ac:dyDescent="0.25">
      <c r="A31" s="11" t="s">
        <v>1</v>
      </c>
      <c r="B31" s="36">
        <v>0.75</v>
      </c>
      <c r="D31" s="43">
        <f>42684*1.03</f>
        <v>43964.520000000004</v>
      </c>
      <c r="E31" s="44">
        <v>318</v>
      </c>
      <c r="I31" s="43">
        <v>374</v>
      </c>
      <c r="L31" s="51">
        <f>SUM(D31:K31)*0.12</f>
        <v>5358.7824000000001</v>
      </c>
      <c r="M31" s="51">
        <f t="shared" si="3"/>
        <v>7052.1576383999991</v>
      </c>
      <c r="N31" s="53"/>
      <c r="O31" s="51">
        <f>SUM(D31:N31)</f>
        <v>57067.4600384</v>
      </c>
      <c r="P31" s="51">
        <f>+O31*B31</f>
        <v>42800.595028800002</v>
      </c>
      <c r="Q31" s="127">
        <f>+P31/1.141</f>
        <v>37511.476800000004</v>
      </c>
      <c r="R31" s="127">
        <f>+P31-Q31</f>
        <v>5289.1182287999982</v>
      </c>
      <c r="S31" s="127">
        <f>+D31*0.06</f>
        <v>2637.8712</v>
      </c>
      <c r="T31" s="53"/>
      <c r="U31" s="53"/>
      <c r="V31" s="54">
        <f>+P31+S31+T31</f>
        <v>45438.466228800004</v>
      </c>
      <c r="W31" s="53"/>
      <c r="X31" s="54">
        <f>+V31*$S$59</f>
        <v>136315.3986864</v>
      </c>
      <c r="Y31" s="53"/>
    </row>
    <row r="32" spans="1:25" ht="15.75" customHeight="1" x14ac:dyDescent="0.25">
      <c r="A32" s="31" t="s">
        <v>35</v>
      </c>
      <c r="B32" s="41">
        <f>SUM(B27:B31)</f>
        <v>3</v>
      </c>
      <c r="D32" s="62">
        <f t="shared" ref="D32:X32" si="10">SUM(D27:D31)</f>
        <v>145566.81</v>
      </c>
      <c r="E32" s="63">
        <f>SUM(E29:E31)</f>
        <v>954</v>
      </c>
      <c r="F32" s="62">
        <f t="shared" si="10"/>
        <v>3707</v>
      </c>
      <c r="G32" s="62">
        <f t="shared" si="10"/>
        <v>0</v>
      </c>
      <c r="H32" s="62">
        <f t="shared" si="10"/>
        <v>0</v>
      </c>
      <c r="I32" s="62">
        <f t="shared" si="10"/>
        <v>5889</v>
      </c>
      <c r="J32" s="62">
        <f t="shared" si="10"/>
        <v>0</v>
      </c>
      <c r="K32" s="62">
        <f t="shared" si="10"/>
        <v>0</v>
      </c>
      <c r="L32" s="62">
        <f t="shared" si="10"/>
        <v>18772.177199999998</v>
      </c>
      <c r="M32" s="62">
        <f t="shared" si="10"/>
        <v>24704.1851952</v>
      </c>
      <c r="N32" s="62"/>
      <c r="O32" s="62">
        <f t="shared" si="10"/>
        <v>199911.17239519997</v>
      </c>
      <c r="P32" s="62">
        <f t="shared" si="10"/>
        <v>172215.00072840002</v>
      </c>
      <c r="Q32" s="128">
        <f t="shared" si="10"/>
        <v>150933.39240000001</v>
      </c>
      <c r="R32" s="128">
        <f t="shared" si="10"/>
        <v>21281.608328399994</v>
      </c>
      <c r="S32" s="128">
        <f t="shared" si="10"/>
        <v>8734.0085999999992</v>
      </c>
      <c r="T32" s="62"/>
      <c r="U32" s="62"/>
      <c r="V32" s="59">
        <f t="shared" si="10"/>
        <v>180949.00932840002</v>
      </c>
      <c r="W32" s="83"/>
      <c r="X32" s="59">
        <f t="shared" si="10"/>
        <v>542847.02798520005</v>
      </c>
      <c r="Y32" s="83"/>
    </row>
    <row r="33" spans="1:25" ht="9.75" customHeight="1" x14ac:dyDescent="0.25">
      <c r="A33" s="31"/>
      <c r="B33" s="30"/>
      <c r="D33" s="64"/>
      <c r="E33" s="65"/>
      <c r="F33" s="64"/>
      <c r="G33" s="64"/>
      <c r="H33" s="65"/>
      <c r="I33" s="64"/>
      <c r="J33" s="64"/>
      <c r="K33" s="64"/>
      <c r="L33" s="64"/>
      <c r="M33" s="64"/>
      <c r="N33" s="64"/>
      <c r="O33" s="64"/>
      <c r="P33" s="64"/>
      <c r="Q33" s="130"/>
      <c r="R33" s="130"/>
      <c r="S33" s="130"/>
      <c r="T33" s="64"/>
      <c r="U33" s="64"/>
      <c r="V33" s="66"/>
      <c r="W33" s="83"/>
      <c r="X33" s="66"/>
      <c r="Y33" s="83"/>
    </row>
    <row r="34" spans="1:25" x14ac:dyDescent="0.25">
      <c r="A34" s="31" t="s">
        <v>32</v>
      </c>
      <c r="B34" s="29">
        <f>+B25+B32</f>
        <v>12.5</v>
      </c>
      <c r="D34" s="57">
        <f t="shared" ref="D34:V34" si="11">+D25+D32</f>
        <v>811100.28</v>
      </c>
      <c r="E34" s="58"/>
      <c r="F34" s="57">
        <f t="shared" si="11"/>
        <v>23156</v>
      </c>
      <c r="G34" s="57">
        <f t="shared" si="11"/>
        <v>0</v>
      </c>
      <c r="H34" s="57">
        <f t="shared" si="11"/>
        <v>4000</v>
      </c>
      <c r="I34" s="57">
        <f t="shared" si="11"/>
        <v>94904</v>
      </c>
      <c r="J34" s="57">
        <f t="shared" si="11"/>
        <v>-560</v>
      </c>
      <c r="K34" s="57">
        <f t="shared" si="11"/>
        <v>0</v>
      </c>
      <c r="L34" s="57">
        <f t="shared" si="11"/>
        <v>112713.39360000001</v>
      </c>
      <c r="M34" s="57">
        <f>+M25+M32</f>
        <v>148330.82597759998</v>
      </c>
      <c r="N34" s="57"/>
      <c r="O34" s="57">
        <f t="shared" si="11"/>
        <v>1200322.4995776</v>
      </c>
      <c r="P34" s="57">
        <f t="shared" si="11"/>
        <v>694405.79872720013</v>
      </c>
      <c r="Q34" s="128">
        <f t="shared" si="11"/>
        <v>608594.0392</v>
      </c>
      <c r="R34" s="128">
        <f t="shared" si="11"/>
        <v>85811.759527200004</v>
      </c>
      <c r="S34" s="128">
        <f>+S25+S32</f>
        <v>48666.016799999998</v>
      </c>
      <c r="T34" s="57"/>
      <c r="U34" s="57"/>
      <c r="V34" s="59">
        <f t="shared" si="11"/>
        <v>743071.8155272</v>
      </c>
      <c r="W34" s="83"/>
      <c r="X34" s="59">
        <f>+X25+X32</f>
        <v>2229215.4465816002</v>
      </c>
      <c r="Y34" s="83"/>
    </row>
    <row r="35" spans="1:25" x14ac:dyDescent="0.25">
      <c r="A35" s="1"/>
      <c r="B35" s="5"/>
      <c r="L35" s="51"/>
      <c r="M35" s="51"/>
      <c r="O35" s="51"/>
      <c r="P35" s="51"/>
      <c r="Q35" s="127"/>
      <c r="R35" s="127"/>
      <c r="S35" s="129"/>
      <c r="V35" s="54"/>
      <c r="W35" s="53"/>
      <c r="X35" s="54"/>
      <c r="Y35" s="53"/>
    </row>
    <row r="36" spans="1:25" x14ac:dyDescent="0.25">
      <c r="A36" s="31" t="s">
        <v>24</v>
      </c>
      <c r="B36" s="32" t="s">
        <v>2</v>
      </c>
      <c r="L36" s="51"/>
      <c r="M36" s="51"/>
      <c r="O36" s="51"/>
      <c r="P36" s="51"/>
      <c r="Q36" s="127"/>
      <c r="R36" s="127"/>
      <c r="S36" s="129"/>
      <c r="V36" s="54"/>
      <c r="W36" s="53"/>
      <c r="X36" s="54"/>
      <c r="Y36" s="53"/>
    </row>
    <row r="37" spans="1:25" x14ac:dyDescent="0.25">
      <c r="A37" s="1" t="s">
        <v>25</v>
      </c>
      <c r="B37" s="37">
        <v>1</v>
      </c>
      <c r="D37" s="43">
        <f>44016*1.03</f>
        <v>45336.480000000003</v>
      </c>
      <c r="K37" s="43">
        <v>785</v>
      </c>
      <c r="L37" s="51">
        <f t="shared" ref="L37:L48" si="12">SUM(D37:K37)*0.12</f>
        <v>5534.5776000000005</v>
      </c>
      <c r="M37" s="51">
        <f t="shared" si="3"/>
        <v>7283.5041215999991</v>
      </c>
      <c r="N37" s="53"/>
      <c r="O37" s="51">
        <f t="shared" ref="O37:O48" si="13">SUM(D37:N37)</f>
        <v>58939.561721599996</v>
      </c>
      <c r="P37" s="51">
        <f t="shared" ref="P37:P48" si="14">+O37*B37</f>
        <v>58939.561721599996</v>
      </c>
      <c r="Q37" s="127">
        <f t="shared" ref="Q37:Q48" si="15">+P37/1.141</f>
        <v>51656.057599999993</v>
      </c>
      <c r="R37" s="127">
        <f t="shared" ref="R37:R48" si="16">+P37-Q37</f>
        <v>7283.5041216000027</v>
      </c>
      <c r="S37" s="127">
        <f t="shared" ref="S37:S48" si="17">+D37*0.06</f>
        <v>2720.1887999999999</v>
      </c>
      <c r="T37" s="53"/>
      <c r="U37" s="53"/>
      <c r="V37" s="54">
        <f t="shared" ref="V37:V48" si="18">+P37+S37+T37</f>
        <v>61659.750521599999</v>
      </c>
      <c r="W37" s="53"/>
      <c r="X37" s="54">
        <f t="shared" ref="X37:X48" si="19">+V37*$S$59</f>
        <v>184979.25156479998</v>
      </c>
      <c r="Y37" s="53"/>
    </row>
    <row r="38" spans="1:25" x14ac:dyDescent="0.25">
      <c r="A38" s="1" t="s">
        <v>26</v>
      </c>
      <c r="B38" s="37">
        <v>1</v>
      </c>
      <c r="D38" s="43">
        <f>32892*1.03</f>
        <v>33878.76</v>
      </c>
      <c r="K38" s="43">
        <v>785</v>
      </c>
      <c r="L38" s="51">
        <f t="shared" si="12"/>
        <v>4159.6512000000002</v>
      </c>
      <c r="M38" s="51">
        <f t="shared" si="3"/>
        <v>5474.1009791999995</v>
      </c>
      <c r="N38" s="53"/>
      <c r="O38" s="51">
        <f t="shared" si="13"/>
        <v>44297.512179199999</v>
      </c>
      <c r="P38" s="51">
        <f t="shared" si="14"/>
        <v>44297.512179199999</v>
      </c>
      <c r="Q38" s="127">
        <f t="shared" si="15"/>
        <v>38823.411200000002</v>
      </c>
      <c r="R38" s="127">
        <f t="shared" si="16"/>
        <v>5474.1009791999968</v>
      </c>
      <c r="S38" s="127">
        <f t="shared" si="17"/>
        <v>2032.7256</v>
      </c>
      <c r="T38" s="53"/>
      <c r="U38" s="53"/>
      <c r="V38" s="54">
        <f t="shared" si="18"/>
        <v>46330.237779199997</v>
      </c>
      <c r="W38" s="53"/>
      <c r="X38" s="54">
        <f t="shared" si="19"/>
        <v>138990.7133376</v>
      </c>
      <c r="Y38" s="53"/>
    </row>
    <row r="39" spans="1:25" x14ac:dyDescent="0.25">
      <c r="A39" s="1" t="s">
        <v>27</v>
      </c>
      <c r="B39" s="37">
        <v>1</v>
      </c>
      <c r="D39" s="43">
        <f>33777*1.03</f>
        <v>34790.31</v>
      </c>
      <c r="J39" s="43">
        <v>-280</v>
      </c>
      <c r="K39" s="43">
        <v>785</v>
      </c>
      <c r="L39" s="51">
        <f t="shared" si="12"/>
        <v>4235.4371999999994</v>
      </c>
      <c r="M39" s="51">
        <f t="shared" si="3"/>
        <v>5573.835355199999</v>
      </c>
      <c r="N39" s="53"/>
      <c r="O39" s="51">
        <f t="shared" si="13"/>
        <v>45104.582555199995</v>
      </c>
      <c r="P39" s="51">
        <f t="shared" si="14"/>
        <v>45104.582555199995</v>
      </c>
      <c r="Q39" s="127">
        <f t="shared" si="15"/>
        <v>39530.747199999998</v>
      </c>
      <c r="R39" s="127">
        <f t="shared" si="16"/>
        <v>5573.8353551999971</v>
      </c>
      <c r="S39" s="127">
        <f t="shared" si="17"/>
        <v>2087.4186</v>
      </c>
      <c r="T39" s="53"/>
      <c r="U39" s="53"/>
      <c r="V39" s="54">
        <f t="shared" si="18"/>
        <v>47192.001155199992</v>
      </c>
      <c r="W39" s="53"/>
      <c r="X39" s="54">
        <f t="shared" si="19"/>
        <v>141576.00346559996</v>
      </c>
      <c r="Y39" s="53"/>
    </row>
    <row r="40" spans="1:25" x14ac:dyDescent="0.25">
      <c r="A40" s="1" t="s">
        <v>28</v>
      </c>
      <c r="B40" s="37">
        <v>1</v>
      </c>
      <c r="D40" s="43">
        <f>33334*1.03</f>
        <v>34334.020000000004</v>
      </c>
      <c r="K40" s="43">
        <v>785</v>
      </c>
      <c r="L40" s="51">
        <f t="shared" si="12"/>
        <v>4214.2824000000001</v>
      </c>
      <c r="M40" s="51">
        <f t="shared" si="3"/>
        <v>5545.9956383999997</v>
      </c>
      <c r="N40" s="53"/>
      <c r="O40" s="51">
        <f t="shared" si="13"/>
        <v>44879.298038399997</v>
      </c>
      <c r="P40" s="51">
        <f t="shared" si="14"/>
        <v>44879.298038399997</v>
      </c>
      <c r="Q40" s="127">
        <f t="shared" si="15"/>
        <v>39333.302399999993</v>
      </c>
      <c r="R40" s="127">
        <f t="shared" si="16"/>
        <v>5545.9956384000034</v>
      </c>
      <c r="S40" s="127">
        <f t="shared" si="17"/>
        <v>2060.0412000000001</v>
      </c>
      <c r="T40" s="53"/>
      <c r="U40" s="53"/>
      <c r="V40" s="54">
        <f t="shared" si="18"/>
        <v>46939.339238399996</v>
      </c>
      <c r="W40" s="53"/>
      <c r="X40" s="54">
        <f t="shared" si="19"/>
        <v>140818.0177152</v>
      </c>
      <c r="Y40" s="53"/>
    </row>
    <row r="41" spans="1:25" x14ac:dyDescent="0.25">
      <c r="A41" s="1" t="s">
        <v>29</v>
      </c>
      <c r="B41" s="37">
        <v>0</v>
      </c>
      <c r="D41" s="43">
        <f>30895*1.03</f>
        <v>31821.850000000002</v>
      </c>
      <c r="K41" s="43">
        <v>785</v>
      </c>
      <c r="L41" s="51">
        <f t="shared" si="12"/>
        <v>3912.8220000000001</v>
      </c>
      <c r="M41" s="51">
        <f t="shared" si="3"/>
        <v>5149.2737520000001</v>
      </c>
      <c r="N41" s="53"/>
      <c r="O41" s="51">
        <f t="shared" si="13"/>
        <v>41668.945752000007</v>
      </c>
      <c r="P41" s="51">
        <f t="shared" si="14"/>
        <v>0</v>
      </c>
      <c r="Q41" s="127">
        <f t="shared" si="15"/>
        <v>0</v>
      </c>
      <c r="R41" s="127">
        <f t="shared" si="16"/>
        <v>0</v>
      </c>
      <c r="S41" s="127">
        <f t="shared" si="17"/>
        <v>1909.3110000000001</v>
      </c>
      <c r="T41" s="53"/>
      <c r="U41" s="53"/>
      <c r="V41" s="54">
        <f t="shared" si="18"/>
        <v>1909.3110000000001</v>
      </c>
      <c r="W41" s="53"/>
      <c r="X41" s="54">
        <f t="shared" si="19"/>
        <v>5727.9330000000009</v>
      </c>
      <c r="Y41" s="53"/>
    </row>
    <row r="42" spans="1:25" x14ac:dyDescent="0.25">
      <c r="A42" s="1" t="s">
        <v>30</v>
      </c>
      <c r="B42" s="37">
        <v>0</v>
      </c>
      <c r="D42" s="43">
        <f>30630*1.03</f>
        <v>31548.9</v>
      </c>
      <c r="F42" s="43">
        <v>6126</v>
      </c>
      <c r="K42" s="43">
        <v>785</v>
      </c>
      <c r="L42" s="51">
        <f t="shared" si="12"/>
        <v>4615.1880000000001</v>
      </c>
      <c r="M42" s="51">
        <f t="shared" si="3"/>
        <v>6073.5874080000003</v>
      </c>
      <c r="N42" s="53"/>
      <c r="O42" s="51">
        <f t="shared" si="13"/>
        <v>49148.675408000003</v>
      </c>
      <c r="P42" s="51">
        <f t="shared" si="14"/>
        <v>0</v>
      </c>
      <c r="Q42" s="127">
        <f t="shared" si="15"/>
        <v>0</v>
      </c>
      <c r="R42" s="127">
        <f t="shared" si="16"/>
        <v>0</v>
      </c>
      <c r="S42" s="127">
        <f t="shared" si="17"/>
        <v>1892.934</v>
      </c>
      <c r="T42" s="53"/>
      <c r="U42" s="53"/>
      <c r="V42" s="54">
        <f t="shared" si="18"/>
        <v>1892.934</v>
      </c>
      <c r="W42" s="53"/>
      <c r="X42" s="54">
        <f t="shared" si="19"/>
        <v>5678.8019999999997</v>
      </c>
      <c r="Y42" s="53"/>
    </row>
    <row r="43" spans="1:25" x14ac:dyDescent="0.25">
      <c r="A43" s="11" t="s">
        <v>80</v>
      </c>
      <c r="B43" s="37">
        <f>1-1</f>
        <v>0</v>
      </c>
      <c r="D43" s="43">
        <v>35000</v>
      </c>
      <c r="K43" s="43">
        <v>785</v>
      </c>
      <c r="L43" s="51">
        <f t="shared" si="12"/>
        <v>4294.2</v>
      </c>
      <c r="M43" s="51">
        <f t="shared" si="3"/>
        <v>5651.167199999999</v>
      </c>
      <c r="N43" s="53"/>
      <c r="O43" s="51">
        <f t="shared" si="13"/>
        <v>45730.367199999993</v>
      </c>
      <c r="P43" s="51">
        <f t="shared" si="14"/>
        <v>0</v>
      </c>
      <c r="Q43" s="127">
        <f t="shared" si="15"/>
        <v>0</v>
      </c>
      <c r="R43" s="127">
        <f t="shared" si="16"/>
        <v>0</v>
      </c>
      <c r="S43" s="127">
        <f t="shared" si="17"/>
        <v>2100</v>
      </c>
      <c r="T43" s="53"/>
      <c r="U43" s="53"/>
      <c r="V43" s="54">
        <f t="shared" si="18"/>
        <v>2100</v>
      </c>
      <c r="W43" s="53"/>
      <c r="X43" s="54">
        <f t="shared" si="19"/>
        <v>6300</v>
      </c>
      <c r="Y43" s="53"/>
    </row>
    <row r="44" spans="1:25" x14ac:dyDescent="0.25">
      <c r="A44" s="11" t="s">
        <v>80</v>
      </c>
      <c r="B44" s="37">
        <f>1-1</f>
        <v>0</v>
      </c>
      <c r="D44" s="43">
        <v>35000</v>
      </c>
      <c r="K44" s="43">
        <v>785</v>
      </c>
      <c r="L44" s="51">
        <f t="shared" si="12"/>
        <v>4294.2</v>
      </c>
      <c r="M44" s="51">
        <f t="shared" si="3"/>
        <v>5651.167199999999</v>
      </c>
      <c r="N44" s="53"/>
      <c r="O44" s="51">
        <f t="shared" si="13"/>
        <v>45730.367199999993</v>
      </c>
      <c r="P44" s="51">
        <f t="shared" si="14"/>
        <v>0</v>
      </c>
      <c r="Q44" s="127">
        <f t="shared" si="15"/>
        <v>0</v>
      </c>
      <c r="R44" s="127">
        <f t="shared" si="16"/>
        <v>0</v>
      </c>
      <c r="S44" s="127">
        <f t="shared" si="17"/>
        <v>2100</v>
      </c>
      <c r="T44" s="53"/>
      <c r="U44" s="53"/>
      <c r="V44" s="54">
        <f t="shared" si="18"/>
        <v>2100</v>
      </c>
      <c r="W44" s="53"/>
      <c r="X44" s="54">
        <f t="shared" si="19"/>
        <v>6300</v>
      </c>
      <c r="Y44" s="53"/>
    </row>
    <row r="45" spans="1:25" x14ac:dyDescent="0.25">
      <c r="A45" s="11" t="s">
        <v>80</v>
      </c>
      <c r="B45" s="37">
        <f>1-1</f>
        <v>0</v>
      </c>
      <c r="D45" s="43">
        <v>35000</v>
      </c>
      <c r="K45" s="43">
        <v>785</v>
      </c>
      <c r="L45" s="51">
        <f t="shared" si="12"/>
        <v>4294.2</v>
      </c>
      <c r="M45" s="51">
        <f t="shared" si="3"/>
        <v>5651.167199999999</v>
      </c>
      <c r="N45" s="53"/>
      <c r="O45" s="51">
        <f t="shared" si="13"/>
        <v>45730.367199999993</v>
      </c>
      <c r="P45" s="51">
        <f t="shared" si="14"/>
        <v>0</v>
      </c>
      <c r="Q45" s="127">
        <f t="shared" si="15"/>
        <v>0</v>
      </c>
      <c r="R45" s="127">
        <f t="shared" si="16"/>
        <v>0</v>
      </c>
      <c r="S45" s="127">
        <f t="shared" si="17"/>
        <v>2100</v>
      </c>
      <c r="T45" s="53"/>
      <c r="U45" s="53"/>
      <c r="V45" s="54">
        <f t="shared" si="18"/>
        <v>2100</v>
      </c>
      <c r="W45" s="53"/>
      <c r="X45" s="54">
        <f t="shared" si="19"/>
        <v>6300</v>
      </c>
      <c r="Y45" s="53"/>
    </row>
    <row r="46" spans="1:25" x14ac:dyDescent="0.25">
      <c r="A46" s="11" t="s">
        <v>80</v>
      </c>
      <c r="B46" s="37">
        <v>0</v>
      </c>
      <c r="D46" s="43">
        <v>35000</v>
      </c>
      <c r="K46" s="43">
        <v>785</v>
      </c>
      <c r="L46" s="51">
        <f t="shared" si="12"/>
        <v>4294.2</v>
      </c>
      <c r="M46" s="51">
        <f t="shared" si="3"/>
        <v>5651.167199999999</v>
      </c>
      <c r="N46" s="53"/>
      <c r="O46" s="51">
        <f t="shared" si="13"/>
        <v>45730.367199999993</v>
      </c>
      <c r="P46" s="51">
        <f t="shared" si="14"/>
        <v>0</v>
      </c>
      <c r="Q46" s="127">
        <f t="shared" si="15"/>
        <v>0</v>
      </c>
      <c r="R46" s="127">
        <f t="shared" si="16"/>
        <v>0</v>
      </c>
      <c r="S46" s="127">
        <f t="shared" si="17"/>
        <v>2100</v>
      </c>
      <c r="T46" s="53"/>
      <c r="U46" s="53"/>
      <c r="V46" s="54">
        <f t="shared" si="18"/>
        <v>2100</v>
      </c>
      <c r="W46" s="53"/>
      <c r="X46" s="54">
        <f t="shared" si="19"/>
        <v>6300</v>
      </c>
      <c r="Y46" s="53"/>
    </row>
    <row r="47" spans="1:25" x14ac:dyDescent="0.25">
      <c r="A47" s="11" t="s">
        <v>80</v>
      </c>
      <c r="B47" s="37"/>
      <c r="L47" s="51">
        <f t="shared" si="12"/>
        <v>0</v>
      </c>
      <c r="M47" s="51">
        <f t="shared" si="3"/>
        <v>0</v>
      </c>
      <c r="N47" s="53"/>
      <c r="O47" s="51">
        <f t="shared" si="13"/>
        <v>0</v>
      </c>
      <c r="P47" s="51">
        <f t="shared" si="14"/>
        <v>0</v>
      </c>
      <c r="Q47" s="127">
        <f t="shared" si="15"/>
        <v>0</v>
      </c>
      <c r="R47" s="127">
        <f t="shared" si="16"/>
        <v>0</v>
      </c>
      <c r="S47" s="127">
        <f t="shared" si="17"/>
        <v>0</v>
      </c>
      <c r="T47" s="53"/>
      <c r="U47" s="53"/>
      <c r="V47" s="54">
        <f t="shared" si="18"/>
        <v>0</v>
      </c>
      <c r="W47" s="53"/>
      <c r="X47" s="54">
        <f t="shared" si="19"/>
        <v>0</v>
      </c>
      <c r="Y47" s="53"/>
    </row>
    <row r="48" spans="1:25" x14ac:dyDescent="0.25">
      <c r="A48" s="1" t="s">
        <v>31</v>
      </c>
      <c r="B48" s="37">
        <v>0</v>
      </c>
      <c r="D48" s="43">
        <f>35686*1.03</f>
        <v>36756.58</v>
      </c>
      <c r="I48" s="43">
        <v>2250</v>
      </c>
      <c r="J48" s="43">
        <v>-280</v>
      </c>
      <c r="K48" s="43">
        <v>785</v>
      </c>
      <c r="L48" s="51">
        <f t="shared" si="12"/>
        <v>4741.3896000000004</v>
      </c>
      <c r="M48" s="51">
        <f t="shared" si="3"/>
        <v>6239.6687136</v>
      </c>
      <c r="N48" s="53"/>
      <c r="O48" s="51">
        <f t="shared" si="13"/>
        <v>50492.638313600008</v>
      </c>
      <c r="P48" s="51">
        <f t="shared" si="14"/>
        <v>0</v>
      </c>
      <c r="Q48" s="127">
        <f t="shared" si="15"/>
        <v>0</v>
      </c>
      <c r="R48" s="127">
        <f t="shared" si="16"/>
        <v>0</v>
      </c>
      <c r="S48" s="127">
        <f t="shared" si="17"/>
        <v>2205.3948</v>
      </c>
      <c r="T48" s="53"/>
      <c r="U48" s="53"/>
      <c r="V48" s="54">
        <f t="shared" si="18"/>
        <v>2205.3948</v>
      </c>
      <c r="W48" s="53"/>
      <c r="X48" s="54">
        <f t="shared" si="19"/>
        <v>6616.1844000000001</v>
      </c>
      <c r="Y48" s="53"/>
    </row>
    <row r="49" spans="1:26" x14ac:dyDescent="0.25">
      <c r="A49" s="38" t="s">
        <v>33</v>
      </c>
      <c r="B49" s="42">
        <f>SUM(B37:B48)</f>
        <v>4</v>
      </c>
      <c r="D49" s="62">
        <f>SUM(D37:D48)</f>
        <v>388466.9</v>
      </c>
      <c r="E49" s="63"/>
      <c r="F49" s="62">
        <f t="shared" ref="F49:L49" si="20">SUM(F37:F48)</f>
        <v>6126</v>
      </c>
      <c r="G49" s="62">
        <f t="shared" si="20"/>
        <v>0</v>
      </c>
      <c r="H49" s="62">
        <f t="shared" si="20"/>
        <v>0</v>
      </c>
      <c r="I49" s="62">
        <f t="shared" si="20"/>
        <v>2250</v>
      </c>
      <c r="J49" s="62">
        <f t="shared" si="20"/>
        <v>-560</v>
      </c>
      <c r="K49" s="62">
        <f t="shared" si="20"/>
        <v>8635</v>
      </c>
      <c r="L49" s="62">
        <f t="shared" si="20"/>
        <v>48590.148000000001</v>
      </c>
      <c r="M49" s="62">
        <f>SUM(M37:M48)</f>
        <v>63944.634767999989</v>
      </c>
      <c r="N49" s="62"/>
      <c r="O49" s="62">
        <f>SUM(O37:O48)</f>
        <v>517452.68276799994</v>
      </c>
      <c r="P49" s="62">
        <f>SUM(P37:P48)</f>
        <v>193220.95449440001</v>
      </c>
      <c r="Q49" s="128">
        <f>SUM(Q37:Q48)</f>
        <v>169343.5184</v>
      </c>
      <c r="R49" s="128">
        <f>SUM(R37:R48)</f>
        <v>23877.4360944</v>
      </c>
      <c r="S49" s="128">
        <f>SUM(S37:S48)</f>
        <v>23308.014000000003</v>
      </c>
      <c r="T49" s="62"/>
      <c r="U49" s="62"/>
      <c r="V49" s="59">
        <f>SUM(V37:V48)</f>
        <v>216528.96849439997</v>
      </c>
      <c r="W49" s="83"/>
      <c r="X49" s="59">
        <f>SUM(X37:X48)</f>
        <v>649586.90548319998</v>
      </c>
      <c r="Y49" s="83"/>
    </row>
    <row r="50" spans="1:26" x14ac:dyDescent="0.25">
      <c r="A50" s="38"/>
      <c r="B50" s="29"/>
      <c r="D50" s="64"/>
      <c r="E50" s="65"/>
      <c r="F50" s="64"/>
      <c r="G50" s="64"/>
      <c r="H50" s="64"/>
      <c r="I50" s="64"/>
      <c r="J50" s="64"/>
      <c r="K50" s="64"/>
      <c r="L50" s="64"/>
      <c r="M50" s="64"/>
      <c r="N50" s="64"/>
      <c r="O50" s="64"/>
      <c r="P50" s="64"/>
      <c r="Q50" s="130"/>
      <c r="R50" s="130"/>
      <c r="S50" s="130"/>
      <c r="T50" s="64"/>
      <c r="U50" s="64"/>
      <c r="V50" s="66"/>
      <c r="W50" s="83"/>
      <c r="X50" s="66"/>
      <c r="Y50" s="83"/>
    </row>
    <row r="51" spans="1:26" x14ac:dyDescent="0.25">
      <c r="A51" s="38" t="s">
        <v>73</v>
      </c>
      <c r="B51" s="29"/>
      <c r="D51" s="64"/>
      <c r="E51" s="65"/>
      <c r="F51" s="64"/>
      <c r="G51" s="64"/>
      <c r="H51" s="64"/>
      <c r="I51" s="64"/>
      <c r="J51" s="64"/>
      <c r="K51" s="64"/>
      <c r="L51" s="64"/>
      <c r="M51" s="64"/>
      <c r="N51" s="64"/>
      <c r="O51" s="64"/>
      <c r="P51" s="64"/>
      <c r="Q51" s="130"/>
      <c r="R51" s="130"/>
      <c r="S51" s="130"/>
      <c r="T51" s="64"/>
      <c r="U51" s="64"/>
      <c r="V51" s="66"/>
      <c r="W51" s="83"/>
      <c r="X51" s="66"/>
      <c r="Y51" s="83"/>
    </row>
    <row r="52" spans="1:26" x14ac:dyDescent="0.25">
      <c r="A52" s="8" t="s">
        <v>74</v>
      </c>
      <c r="B52" s="78">
        <v>0</v>
      </c>
      <c r="D52" s="64"/>
      <c r="E52" s="65"/>
      <c r="F52" s="64"/>
      <c r="G52" s="64"/>
      <c r="H52" s="64"/>
      <c r="I52" s="64"/>
      <c r="J52" s="64"/>
      <c r="K52" s="64"/>
      <c r="L52" s="51"/>
      <c r="M52" s="51"/>
      <c r="N52" s="53"/>
      <c r="O52" s="51"/>
      <c r="P52" s="64"/>
      <c r="Q52" s="130"/>
      <c r="R52" s="130"/>
      <c r="S52" s="127"/>
      <c r="T52" s="64"/>
      <c r="U52" s="64"/>
      <c r="V52" s="66"/>
      <c r="W52" s="83"/>
      <c r="X52" s="66"/>
      <c r="Y52" s="83"/>
    </row>
    <row r="53" spans="1:26" x14ac:dyDescent="0.25">
      <c r="A53" s="38" t="s">
        <v>75</v>
      </c>
      <c r="B53" s="79">
        <f>SUM(B52:B52)</f>
        <v>0</v>
      </c>
      <c r="D53" s="62">
        <f t="shared" ref="D53:M53" si="21">SUM(D52:D52)</f>
        <v>0</v>
      </c>
      <c r="E53" s="62">
        <f t="shared" si="21"/>
        <v>0</v>
      </c>
      <c r="F53" s="62">
        <f t="shared" si="21"/>
        <v>0</v>
      </c>
      <c r="G53" s="62">
        <f t="shared" si="21"/>
        <v>0</v>
      </c>
      <c r="H53" s="62">
        <f t="shared" si="21"/>
        <v>0</v>
      </c>
      <c r="I53" s="62">
        <f t="shared" si="21"/>
        <v>0</v>
      </c>
      <c r="J53" s="62">
        <f t="shared" si="21"/>
        <v>0</v>
      </c>
      <c r="K53" s="62">
        <f t="shared" si="21"/>
        <v>0</v>
      </c>
      <c r="L53" s="62">
        <f t="shared" si="21"/>
        <v>0</v>
      </c>
      <c r="M53" s="62">
        <f t="shared" si="21"/>
        <v>0</v>
      </c>
      <c r="N53" s="62"/>
      <c r="O53" s="62">
        <f>SUM(O52:O52)</f>
        <v>0</v>
      </c>
      <c r="P53" s="62">
        <f>SUM(P52:P52)</f>
        <v>0</v>
      </c>
      <c r="Q53" s="128">
        <f>SUM(Q52:Q52)</f>
        <v>0</v>
      </c>
      <c r="R53" s="128">
        <f>SUM(R52:R52)</f>
        <v>0</v>
      </c>
      <c r="S53" s="128">
        <f>SUM(S52:S52)</f>
        <v>0</v>
      </c>
      <c r="T53" s="62"/>
      <c r="U53" s="62"/>
      <c r="V53" s="59">
        <f>SUM(V52:V52)</f>
        <v>0</v>
      </c>
      <c r="W53" s="83"/>
      <c r="X53" s="59">
        <f>SUM(X52:X52)</f>
        <v>0</v>
      </c>
      <c r="Y53" s="83"/>
    </row>
    <row r="54" spans="1:26" x14ac:dyDescent="0.25">
      <c r="D54" s="55"/>
      <c r="E54" s="56"/>
      <c r="F54" s="55"/>
      <c r="G54" s="55"/>
      <c r="H54" s="56"/>
      <c r="I54" s="55"/>
      <c r="J54" s="55"/>
      <c r="K54" s="55"/>
      <c r="L54" s="55"/>
      <c r="M54" s="55"/>
      <c r="N54" s="55"/>
      <c r="O54" s="55"/>
      <c r="P54" s="55"/>
      <c r="Q54" s="131"/>
      <c r="R54" s="131"/>
      <c r="S54" s="131"/>
      <c r="T54" s="55"/>
      <c r="U54" s="55"/>
      <c r="V54" s="67"/>
      <c r="W54" s="88"/>
      <c r="X54" s="67"/>
      <c r="Y54" s="88"/>
    </row>
    <row r="55" spans="1:26" ht="13.8" thickBot="1" x14ac:dyDescent="0.3">
      <c r="A55" s="30" t="s">
        <v>34</v>
      </c>
      <c r="B55" s="30">
        <f>+B25+B32+B49+B53</f>
        <v>16.5</v>
      </c>
      <c r="D55" s="68">
        <f t="shared" ref="D55:L55" si="22">+D25+D32+D49+D53</f>
        <v>1199567.1800000002</v>
      </c>
      <c r="E55" s="68">
        <f t="shared" si="22"/>
        <v>6360</v>
      </c>
      <c r="F55" s="68">
        <f t="shared" si="22"/>
        <v>29282</v>
      </c>
      <c r="G55" s="68">
        <f t="shared" si="22"/>
        <v>0</v>
      </c>
      <c r="H55" s="68">
        <f t="shared" si="22"/>
        <v>4000</v>
      </c>
      <c r="I55" s="68">
        <f t="shared" si="22"/>
        <v>97154</v>
      </c>
      <c r="J55" s="68">
        <f t="shared" si="22"/>
        <v>-1120</v>
      </c>
      <c r="K55" s="68">
        <f t="shared" si="22"/>
        <v>8635</v>
      </c>
      <c r="L55" s="68">
        <f t="shared" si="22"/>
        <v>161303.5416</v>
      </c>
      <c r="M55" s="68">
        <f>+M25+M32+M49+M53</f>
        <v>212275.46074559996</v>
      </c>
      <c r="N55" s="68"/>
      <c r="O55" s="68">
        <f>+O25+O32+O49+O53</f>
        <v>1717775.1823455999</v>
      </c>
      <c r="P55" s="68">
        <f>+P25+P32+P49+P53</f>
        <v>887626.75322160008</v>
      </c>
      <c r="Q55" s="132">
        <f>+Q25+Q32+Q49+Q53</f>
        <v>777937.55759999994</v>
      </c>
      <c r="R55" s="132">
        <f>+R25+R32+R49+R53</f>
        <v>109689.1956216</v>
      </c>
      <c r="S55" s="132">
        <f>+S25+S32+S49+S53</f>
        <v>71974.030800000008</v>
      </c>
      <c r="T55" s="68"/>
      <c r="U55" s="68"/>
      <c r="V55" s="69">
        <f>+V25+V32+V49+V53</f>
        <v>959600.78402159992</v>
      </c>
      <c r="W55" s="83"/>
      <c r="X55" s="69">
        <f>+X25+X32+X49+X53</f>
        <v>2878802.3520648004</v>
      </c>
      <c r="Y55" s="83"/>
      <c r="Z55" s="83"/>
    </row>
    <row r="56" spans="1:26" ht="13.8" thickTop="1" x14ac:dyDescent="0.25"/>
    <row r="58" spans="1:26" x14ac:dyDescent="0.25">
      <c r="A58" s="39" t="s">
        <v>220</v>
      </c>
      <c r="B58" s="108">
        <v>196</v>
      </c>
    </row>
    <row r="59" spans="1:26" x14ac:dyDescent="0.25">
      <c r="A59" s="39"/>
      <c r="B59" s="39"/>
      <c r="P59" s="81" t="s">
        <v>76</v>
      </c>
      <c r="Q59" s="81"/>
      <c r="R59" s="81"/>
      <c r="S59" s="82">
        <v>3</v>
      </c>
      <c r="V59" s="77" t="s">
        <v>53</v>
      </c>
      <c r="W59" s="60"/>
      <c r="X59" s="88"/>
      <c r="Y59" s="60"/>
      <c r="Z59" s="10"/>
    </row>
    <row r="60" spans="1:26" x14ac:dyDescent="0.25">
      <c r="A60" s="39" t="s">
        <v>61</v>
      </c>
      <c r="B60" s="39"/>
      <c r="P60" s="76" t="s">
        <v>72</v>
      </c>
      <c r="Q60" s="76"/>
      <c r="R60" s="76"/>
      <c r="W60" s="47"/>
      <c r="X60" s="83"/>
      <c r="Y60" s="47"/>
      <c r="Z60" s="47"/>
    </row>
    <row r="61" spans="1:26" x14ac:dyDescent="0.25">
      <c r="A61" s="39" t="s">
        <v>62</v>
      </c>
      <c r="B61" s="109">
        <f>+B55/B58</f>
        <v>8.4183673469387751E-2</v>
      </c>
      <c r="W61" s="55"/>
      <c r="X61" s="88"/>
      <c r="Y61" s="55"/>
      <c r="Z61" s="55"/>
    </row>
    <row r="62" spans="1:26" x14ac:dyDescent="0.25">
      <c r="A62" s="39" t="s">
        <v>63</v>
      </c>
      <c r="B62" s="109">
        <f>(B58-B55)/B58</f>
        <v>0.91581632653061229</v>
      </c>
      <c r="O62" s="75">
        <v>5100</v>
      </c>
      <c r="P62" s="43" t="s">
        <v>36</v>
      </c>
      <c r="V62" s="43">
        <f>+Q55*S59</f>
        <v>2333812.6727999998</v>
      </c>
      <c r="W62" s="55"/>
      <c r="X62" s="88"/>
      <c r="Y62" s="55"/>
      <c r="Z62" s="55"/>
    </row>
    <row r="63" spans="1:26" x14ac:dyDescent="0.25">
      <c r="O63" s="75">
        <v>5101</v>
      </c>
      <c r="P63" s="43" t="s">
        <v>71</v>
      </c>
      <c r="V63" s="43">
        <f>+R55*S59</f>
        <v>329067.58686479996</v>
      </c>
      <c r="W63" s="55"/>
      <c r="X63" s="88"/>
      <c r="Y63" s="55"/>
      <c r="Z63" s="55"/>
    </row>
    <row r="64" spans="1:26" x14ac:dyDescent="0.25">
      <c r="O64" s="75">
        <v>5103</v>
      </c>
      <c r="P64" s="43" t="s">
        <v>79</v>
      </c>
      <c r="V64" s="43">
        <f>+S55*S59</f>
        <v>215922.09240000002</v>
      </c>
      <c r="W64" s="55"/>
      <c r="X64" s="88"/>
      <c r="Y64" s="55"/>
      <c r="Z64" s="55"/>
    </row>
    <row r="65" spans="2:29" x14ac:dyDescent="0.25">
      <c r="W65" s="55"/>
      <c r="X65" s="88"/>
      <c r="Y65" s="55"/>
      <c r="Z65" s="55"/>
    </row>
    <row r="66" spans="2:29" ht="13.8" thickBot="1" x14ac:dyDescent="0.3">
      <c r="P66" s="80" t="s">
        <v>77</v>
      </c>
      <c r="Q66" s="80"/>
      <c r="R66" s="80"/>
      <c r="S66" s="80"/>
      <c r="T66" s="80"/>
      <c r="U66" s="80"/>
      <c r="V66" s="80">
        <f>SUM(V62:V65)</f>
        <v>2878802.3520648</v>
      </c>
      <c r="W66" s="55"/>
      <c r="X66" s="88"/>
      <c r="Y66" s="55"/>
      <c r="Z66" s="55"/>
    </row>
    <row r="67" spans="2:29" ht="13.8" thickTop="1" x14ac:dyDescent="0.25">
      <c r="W67" s="55"/>
      <c r="X67" s="88"/>
      <c r="Y67" s="55"/>
      <c r="Z67" s="55"/>
    </row>
    <row r="68" spans="2:29" x14ac:dyDescent="0.25">
      <c r="B68" s="102"/>
      <c r="C68" s="31"/>
      <c r="D68" s="9"/>
      <c r="E68" s="9"/>
      <c r="F68" s="53"/>
      <c r="G68" s="53"/>
      <c r="H68" s="53"/>
      <c r="I68" s="9"/>
      <c r="J68" s="95"/>
      <c r="K68" s="95"/>
      <c r="L68" s="95"/>
    </row>
    <row r="69" spans="2:29" x14ac:dyDescent="0.25">
      <c r="B69" s="102"/>
      <c r="C69" s="31"/>
      <c r="D69" s="9"/>
      <c r="E69" s="9"/>
      <c r="F69" s="53"/>
      <c r="G69" s="53"/>
      <c r="H69" s="53"/>
      <c r="I69" s="9"/>
      <c r="J69" s="96"/>
      <c r="K69" s="96"/>
      <c r="L69" s="95"/>
    </row>
    <row r="70" spans="2:29" x14ac:dyDescent="0.25">
      <c r="B70" s="102"/>
      <c r="C70" s="31"/>
      <c r="D70" s="9"/>
      <c r="E70" s="9"/>
      <c r="F70" s="53"/>
      <c r="G70" s="53"/>
      <c r="H70" s="53"/>
      <c r="I70" s="9"/>
      <c r="J70" s="96"/>
      <c r="K70" s="96"/>
      <c r="L70" s="95"/>
      <c r="R70" s="60"/>
      <c r="S70" s="45"/>
      <c r="T70" s="60"/>
      <c r="U70" s="60"/>
      <c r="V70" s="60"/>
      <c r="W70" s="60"/>
      <c r="X70" s="60"/>
      <c r="Y70" s="60"/>
      <c r="Z70" s="10"/>
      <c r="AA70" s="10"/>
      <c r="AB70" s="10"/>
      <c r="AC70" s="10"/>
    </row>
    <row r="71" spans="2:29" x14ac:dyDescent="0.25">
      <c r="B71" s="102"/>
      <c r="C71" s="31"/>
      <c r="D71" s="31"/>
      <c r="E71" s="31"/>
      <c r="F71" s="83"/>
      <c r="G71" s="83"/>
      <c r="H71" s="83"/>
      <c r="I71" s="31"/>
      <c r="J71" s="103"/>
      <c r="K71" s="103"/>
      <c r="L71" s="104"/>
      <c r="P71" s="45"/>
      <c r="Q71" s="45"/>
      <c r="R71" s="45"/>
      <c r="S71" s="133"/>
      <c r="T71" s="60"/>
      <c r="U71" s="60"/>
      <c r="V71" s="60"/>
      <c r="W71" s="60"/>
      <c r="X71" s="60"/>
      <c r="Y71" s="60"/>
      <c r="Z71" s="10"/>
      <c r="AA71" s="10"/>
      <c r="AB71" s="10"/>
      <c r="AC71" s="10"/>
    </row>
    <row r="72" spans="2:29" x14ac:dyDescent="0.25">
      <c r="B72" s="102"/>
      <c r="C72" s="31"/>
      <c r="D72" s="9"/>
      <c r="E72" s="31"/>
      <c r="F72" s="83"/>
      <c r="G72" s="83"/>
      <c r="H72" s="83"/>
      <c r="I72" s="31"/>
      <c r="J72" s="103"/>
      <c r="K72" s="103"/>
      <c r="L72" s="104"/>
      <c r="O72"/>
      <c r="P72"/>
      <c r="Q72"/>
      <c r="R72" s="10"/>
      <c r="S72" s="134"/>
      <c r="T72" s="10"/>
      <c r="U72" s="10"/>
      <c r="V72" s="10"/>
      <c r="W72" s="60"/>
      <c r="X72" s="60"/>
      <c r="Y72" s="60"/>
      <c r="Z72" s="10"/>
      <c r="AA72" s="10"/>
      <c r="AB72" s="10"/>
      <c r="AC72" s="10"/>
    </row>
    <row r="73" spans="2:29" x14ac:dyDescent="0.25">
      <c r="B73" s="102"/>
      <c r="C73" s="9"/>
      <c r="D73" s="9"/>
      <c r="E73" s="9"/>
      <c r="F73" s="73"/>
      <c r="G73" s="105"/>
      <c r="H73" s="49"/>
      <c r="I73" s="9"/>
      <c r="J73" s="49"/>
      <c r="K73" s="49"/>
      <c r="L73" s="53"/>
      <c r="O73"/>
      <c r="P73"/>
      <c r="Q73"/>
      <c r="R73" s="10"/>
      <c r="S73" s="10"/>
      <c r="T73" s="10"/>
      <c r="U73" s="10"/>
      <c r="V73" s="10"/>
      <c r="W73" s="60"/>
      <c r="X73" s="60"/>
      <c r="Y73" s="60"/>
      <c r="Z73" s="10"/>
      <c r="AA73" s="10"/>
      <c r="AB73" s="10"/>
      <c r="AC73" s="10"/>
    </row>
    <row r="74" spans="2:29" x14ac:dyDescent="0.25">
      <c r="B74" s="102"/>
      <c r="C74" s="9"/>
      <c r="D74" s="9"/>
      <c r="E74" s="9"/>
      <c r="F74" s="88"/>
      <c r="G74" s="105"/>
      <c r="H74" s="49"/>
      <c r="I74" s="9"/>
      <c r="J74" s="49"/>
      <c r="K74" s="49"/>
      <c r="L74" s="53"/>
      <c r="N74"/>
      <c r="O74"/>
      <c r="P74"/>
      <c r="Q74"/>
      <c r="R74" s="10"/>
      <c r="S74" s="10"/>
      <c r="T74" s="10"/>
      <c r="U74" s="10"/>
      <c r="V74" s="10"/>
      <c r="W74" s="60"/>
      <c r="X74" s="60"/>
      <c r="Y74" s="60"/>
      <c r="Z74" s="10"/>
      <c r="AA74" s="10"/>
      <c r="AB74" s="10"/>
      <c r="AC74" s="10"/>
    </row>
    <row r="75" spans="2:29" x14ac:dyDescent="0.25">
      <c r="B75" s="102"/>
      <c r="C75" s="9"/>
      <c r="D75" s="9"/>
      <c r="E75" s="9"/>
      <c r="F75" s="88"/>
      <c r="G75" s="105"/>
      <c r="H75" s="49"/>
      <c r="I75" s="9"/>
      <c r="J75" s="49"/>
      <c r="K75" s="49"/>
      <c r="L75" s="53"/>
      <c r="N75"/>
      <c r="O75"/>
      <c r="P75"/>
      <c r="Q75"/>
      <c r="R75" s="10"/>
      <c r="S75" s="10"/>
      <c r="T75" s="10"/>
      <c r="U75" s="10"/>
      <c r="V75" s="10"/>
      <c r="W75" s="60"/>
      <c r="X75" s="60"/>
      <c r="Y75" s="60"/>
      <c r="Z75" s="10"/>
      <c r="AA75" s="10"/>
      <c r="AB75" s="10"/>
      <c r="AC75" s="10"/>
    </row>
    <row r="76" spans="2:29" x14ac:dyDescent="0.25">
      <c r="B76" s="102"/>
      <c r="C76" s="9"/>
      <c r="D76" s="9"/>
      <c r="E76" s="9"/>
      <c r="F76" s="88"/>
      <c r="G76" s="105"/>
      <c r="H76" s="49"/>
      <c r="I76" s="9"/>
      <c r="J76" s="49"/>
      <c r="K76" s="49"/>
      <c r="L76" s="53"/>
      <c r="N76"/>
      <c r="O76"/>
      <c r="P76"/>
      <c r="Q76"/>
      <c r="R76"/>
      <c r="S76"/>
      <c r="T76"/>
      <c r="U76"/>
      <c r="V76"/>
    </row>
    <row r="77" spans="2:29" x14ac:dyDescent="0.25">
      <c r="B77" s="102"/>
      <c r="C77" s="9"/>
      <c r="D77" s="9"/>
      <c r="E77" s="9"/>
      <c r="F77" s="88"/>
      <c r="G77" s="105"/>
      <c r="H77" s="49"/>
      <c r="I77" s="9"/>
      <c r="J77" s="49"/>
      <c r="K77" s="49"/>
      <c r="L77" s="53"/>
      <c r="N77"/>
      <c r="O77"/>
      <c r="P77"/>
      <c r="Q77"/>
      <c r="R77"/>
      <c r="S77"/>
      <c r="T77"/>
      <c r="U77"/>
      <c r="V77"/>
    </row>
    <row r="78" spans="2:29" x14ac:dyDescent="0.25">
      <c r="B78" s="102"/>
      <c r="C78" s="9"/>
      <c r="D78" s="9"/>
      <c r="E78" s="9"/>
      <c r="F78" s="88"/>
      <c r="G78" s="105"/>
      <c r="H78" s="49"/>
      <c r="I78" s="9"/>
      <c r="J78" s="49"/>
      <c r="K78" s="49"/>
      <c r="L78" s="53"/>
      <c r="N78"/>
      <c r="O78"/>
      <c r="P78"/>
      <c r="Q78"/>
      <c r="R78"/>
      <c r="S78"/>
      <c r="T78"/>
      <c r="U78"/>
      <c r="V78"/>
    </row>
    <row r="79" spans="2:29" x14ac:dyDescent="0.25">
      <c r="B79" s="102"/>
      <c r="C79" s="9"/>
      <c r="D79" s="9"/>
      <c r="E79" s="9"/>
      <c r="F79" s="88"/>
      <c r="G79" s="105"/>
      <c r="H79" s="49"/>
      <c r="I79" s="9"/>
      <c r="J79" s="49"/>
      <c r="K79" s="49"/>
      <c r="L79" s="53"/>
      <c r="N79"/>
      <c r="O79"/>
      <c r="P79"/>
      <c r="Q79"/>
      <c r="R79"/>
      <c r="S79"/>
      <c r="T79"/>
      <c r="U79"/>
      <c r="V79"/>
    </row>
    <row r="80" spans="2:29" x14ac:dyDescent="0.25">
      <c r="B80" s="102"/>
      <c r="C80" s="9"/>
      <c r="D80" s="9"/>
      <c r="E80" s="9"/>
      <c r="F80" s="88"/>
      <c r="G80" s="105"/>
      <c r="H80" s="49"/>
      <c r="I80" s="9"/>
      <c r="J80" s="49"/>
      <c r="K80" s="49"/>
      <c r="L80" s="53"/>
      <c r="N80"/>
      <c r="O80"/>
      <c r="P80"/>
      <c r="Q80"/>
      <c r="R80"/>
      <c r="S80"/>
      <c r="T80"/>
      <c r="U80"/>
      <c r="V80"/>
    </row>
    <row r="81" spans="2:22" x14ac:dyDescent="0.25">
      <c r="B81" s="102"/>
      <c r="C81" s="9"/>
      <c r="D81" s="9"/>
      <c r="E81" s="9"/>
      <c r="F81" s="88"/>
      <c r="G81" s="105"/>
      <c r="H81" s="49"/>
      <c r="I81" s="9"/>
      <c r="J81" s="49"/>
      <c r="K81" s="49"/>
      <c r="L81" s="53"/>
      <c r="N81"/>
      <c r="O81"/>
      <c r="P81"/>
      <c r="Q81"/>
      <c r="R81"/>
      <c r="S81"/>
      <c r="T81"/>
      <c r="U81"/>
      <c r="V81"/>
    </row>
    <row r="82" spans="2:22" x14ac:dyDescent="0.25">
      <c r="B82" s="102"/>
      <c r="C82" s="9"/>
      <c r="D82" s="9"/>
      <c r="E82" s="9"/>
      <c r="F82" s="88"/>
      <c r="G82" s="105"/>
      <c r="H82" s="49"/>
      <c r="I82" s="9"/>
      <c r="J82" s="49"/>
      <c r="K82" s="49"/>
      <c r="L82" s="53"/>
      <c r="N82"/>
      <c r="O82"/>
      <c r="P82"/>
      <c r="Q82"/>
      <c r="R82"/>
      <c r="S82"/>
      <c r="T82"/>
      <c r="U82"/>
      <c r="V82"/>
    </row>
    <row r="83" spans="2:22" x14ac:dyDescent="0.25">
      <c r="B83" s="102"/>
      <c r="C83" s="9"/>
      <c r="D83" s="9"/>
      <c r="E83" s="9"/>
      <c r="F83" s="88"/>
      <c r="G83" s="105"/>
      <c r="H83" s="49"/>
      <c r="I83" s="9"/>
      <c r="J83" s="49"/>
      <c r="K83" s="49"/>
      <c r="L83" s="53"/>
      <c r="N83"/>
      <c r="O83"/>
      <c r="P83"/>
      <c r="Q83"/>
      <c r="R83"/>
      <c r="S83"/>
      <c r="T83"/>
      <c r="U83"/>
      <c r="V83"/>
    </row>
    <row r="84" spans="2:22" x14ac:dyDescent="0.25">
      <c r="B84" s="102"/>
      <c r="C84" s="9"/>
      <c r="D84" s="9"/>
      <c r="E84" s="9"/>
      <c r="F84" s="88"/>
      <c r="G84" s="105"/>
      <c r="H84" s="49"/>
      <c r="I84" s="9"/>
      <c r="J84" s="49"/>
      <c r="K84" s="49"/>
      <c r="L84" s="53"/>
      <c r="N84"/>
      <c r="O84"/>
      <c r="P84"/>
      <c r="Q84"/>
      <c r="R84"/>
      <c r="S84"/>
      <c r="T84"/>
      <c r="U84"/>
      <c r="V84"/>
    </row>
    <row r="85" spans="2:22" x14ac:dyDescent="0.25">
      <c r="B85" s="102"/>
      <c r="C85" s="9"/>
      <c r="D85" s="9"/>
      <c r="E85" s="9"/>
      <c r="F85" s="88"/>
      <c r="G85" s="105"/>
      <c r="H85" s="49"/>
      <c r="I85" s="9"/>
      <c r="J85" s="49"/>
      <c r="K85" s="49"/>
      <c r="L85" s="53"/>
      <c r="N85"/>
      <c r="O85"/>
      <c r="P85"/>
      <c r="Q85"/>
      <c r="R85"/>
      <c r="S85"/>
      <c r="T85"/>
      <c r="U85"/>
      <c r="V85"/>
    </row>
    <row r="86" spans="2:22" x14ac:dyDescent="0.25">
      <c r="B86" s="102"/>
      <c r="C86" s="9"/>
      <c r="D86" s="9"/>
      <c r="E86" s="9"/>
      <c r="F86" s="88"/>
      <c r="G86" s="105"/>
      <c r="H86" s="49"/>
      <c r="I86" s="9"/>
      <c r="J86" s="49"/>
      <c r="K86" s="49"/>
      <c r="L86" s="53"/>
      <c r="N86"/>
      <c r="O86"/>
      <c r="P86"/>
      <c r="Q86"/>
      <c r="R86"/>
      <c r="S86"/>
      <c r="T86"/>
      <c r="U86"/>
      <c r="V86"/>
    </row>
    <row r="87" spans="2:22" x14ac:dyDescent="0.25">
      <c r="B87" s="102"/>
      <c r="C87" s="9"/>
      <c r="D87" s="9"/>
      <c r="E87" s="9"/>
      <c r="F87" s="88"/>
      <c r="G87" s="105"/>
      <c r="H87" s="49"/>
      <c r="I87" s="9"/>
      <c r="J87" s="49"/>
      <c r="K87" s="49"/>
      <c r="L87" s="53"/>
      <c r="N87"/>
      <c r="O87"/>
      <c r="P87"/>
      <c r="Q87"/>
      <c r="R87"/>
      <c r="S87"/>
      <c r="T87"/>
      <c r="U87"/>
      <c r="V87"/>
    </row>
    <row r="88" spans="2:22" x14ac:dyDescent="0.25">
      <c r="B88" s="102"/>
      <c r="C88" s="9"/>
      <c r="D88" s="9"/>
      <c r="E88" s="9"/>
      <c r="F88" s="88"/>
      <c r="G88" s="105"/>
      <c r="H88" s="49"/>
      <c r="I88" s="9"/>
      <c r="J88" s="49"/>
      <c r="K88" s="49"/>
      <c r="L88" s="53"/>
      <c r="N88"/>
      <c r="O88"/>
      <c r="P88"/>
      <c r="Q88"/>
      <c r="R88"/>
      <c r="S88"/>
      <c r="T88"/>
      <c r="U88"/>
      <c r="V88"/>
    </row>
    <row r="89" spans="2:22" x14ac:dyDescent="0.25">
      <c r="B89" s="102"/>
      <c r="C89" s="9"/>
      <c r="D89" s="9"/>
      <c r="E89" s="9"/>
      <c r="F89" s="88"/>
      <c r="G89" s="105"/>
      <c r="H89" s="49"/>
      <c r="I89" s="9"/>
      <c r="J89" s="49"/>
      <c r="K89" s="49"/>
      <c r="L89" s="53"/>
      <c r="N89"/>
      <c r="O89"/>
      <c r="P89"/>
      <c r="Q89"/>
      <c r="R89"/>
      <c r="S89"/>
      <c r="T89"/>
      <c r="U89"/>
      <c r="V89"/>
    </row>
    <row r="90" spans="2:22" x14ac:dyDescent="0.25">
      <c r="B90" s="102"/>
      <c r="C90" s="9"/>
      <c r="D90" s="9"/>
      <c r="E90" s="9"/>
      <c r="F90" s="88"/>
      <c r="G90" s="105"/>
      <c r="H90" s="49"/>
      <c r="I90" s="9"/>
      <c r="J90" s="49"/>
      <c r="K90" s="49"/>
      <c r="L90" s="53"/>
      <c r="N90"/>
      <c r="O90"/>
      <c r="P90"/>
      <c r="Q90"/>
      <c r="R90"/>
      <c r="S90"/>
      <c r="T90"/>
      <c r="U90"/>
      <c r="V90"/>
    </row>
    <row r="91" spans="2:22" x14ac:dyDescent="0.25">
      <c r="B91" s="102"/>
      <c r="C91" s="9"/>
      <c r="D91" s="9"/>
      <c r="E91" s="9"/>
      <c r="F91" s="88"/>
      <c r="G91" s="105"/>
      <c r="H91" s="49"/>
      <c r="I91" s="9"/>
      <c r="J91" s="49"/>
      <c r="K91" s="49"/>
      <c r="L91" s="53"/>
      <c r="N91"/>
      <c r="O91"/>
      <c r="P91"/>
      <c r="Q91"/>
      <c r="R91"/>
      <c r="S91"/>
      <c r="T91"/>
      <c r="U91"/>
      <c r="V91"/>
    </row>
    <row r="92" spans="2:22" x14ac:dyDescent="0.25">
      <c r="B92" s="102"/>
      <c r="C92" s="9"/>
      <c r="D92" s="9"/>
      <c r="E92" s="9"/>
      <c r="F92" s="88"/>
      <c r="G92" s="105"/>
      <c r="H92" s="49"/>
      <c r="I92" s="9"/>
      <c r="J92" s="49"/>
      <c r="K92" s="49"/>
      <c r="L92" s="53"/>
      <c r="O92"/>
      <c r="P92"/>
      <c r="Q92"/>
      <c r="R92"/>
      <c r="S92"/>
      <c r="T92"/>
      <c r="U92"/>
      <c r="V92"/>
    </row>
    <row r="93" spans="2:22" x14ac:dyDescent="0.25">
      <c r="B93" s="102"/>
      <c r="C93" s="9"/>
      <c r="D93" s="9"/>
      <c r="E93" s="9"/>
      <c r="F93" s="88"/>
      <c r="G93" s="105"/>
      <c r="H93" s="49"/>
      <c r="I93" s="9"/>
      <c r="J93" s="49"/>
      <c r="K93" s="49"/>
      <c r="L93" s="53"/>
      <c r="O93"/>
      <c r="P93"/>
      <c r="Q93"/>
      <c r="R93"/>
      <c r="S93"/>
      <c r="T93"/>
      <c r="U93"/>
      <c r="V93"/>
    </row>
    <row r="94" spans="2:22" x14ac:dyDescent="0.25">
      <c r="B94" s="102"/>
      <c r="C94" s="9"/>
      <c r="D94" s="53"/>
      <c r="E94" s="49"/>
      <c r="F94" s="53"/>
      <c r="G94" s="53"/>
      <c r="H94" s="49"/>
      <c r="I94" s="53"/>
      <c r="J94" s="53"/>
      <c r="K94" s="53"/>
      <c r="L94" s="53"/>
      <c r="O94"/>
      <c r="P94"/>
      <c r="Q94"/>
      <c r="R94"/>
      <c r="S94"/>
      <c r="T94"/>
      <c r="U94"/>
      <c r="V94"/>
    </row>
    <row r="95" spans="2:22" x14ac:dyDescent="0.25">
      <c r="B95" s="102"/>
      <c r="C95" s="9"/>
      <c r="D95" s="53"/>
      <c r="E95" s="49"/>
      <c r="F95" s="53"/>
      <c r="G95" s="53"/>
      <c r="H95" s="49"/>
      <c r="I95" s="53"/>
      <c r="J95" s="53"/>
      <c r="K95" s="53"/>
      <c r="L95" s="53"/>
      <c r="O95"/>
      <c r="P95"/>
      <c r="Q95"/>
      <c r="R95"/>
      <c r="S95"/>
      <c r="T95"/>
      <c r="U95"/>
      <c r="V95"/>
    </row>
    <row r="96" spans="2:22" x14ac:dyDescent="0.25">
      <c r="B96" s="102"/>
      <c r="C96" s="9"/>
      <c r="D96" s="53"/>
      <c r="E96" s="49"/>
      <c r="F96" s="53"/>
      <c r="G96" s="53"/>
      <c r="H96" s="49"/>
      <c r="I96" s="53"/>
      <c r="J96" s="53"/>
      <c r="K96" s="53"/>
      <c r="L96" s="53"/>
      <c r="O96"/>
      <c r="P96"/>
      <c r="Q96"/>
      <c r="R96"/>
      <c r="S96"/>
      <c r="T96"/>
      <c r="U96"/>
      <c r="V96"/>
    </row>
    <row r="97" spans="2:22" x14ac:dyDescent="0.25">
      <c r="B97" s="102"/>
      <c r="C97" s="9"/>
      <c r="D97" s="53"/>
      <c r="E97" s="49"/>
      <c r="F97" s="53"/>
      <c r="G97" s="53"/>
      <c r="H97" s="49"/>
      <c r="I97" s="53"/>
      <c r="J97" s="53"/>
      <c r="K97" s="53"/>
      <c r="L97" s="53"/>
      <c r="O97"/>
      <c r="P97"/>
      <c r="Q97"/>
      <c r="R97"/>
      <c r="S97"/>
      <c r="T97"/>
      <c r="U97"/>
      <c r="V97"/>
    </row>
    <row r="98" spans="2:22" x14ac:dyDescent="0.25">
      <c r="B98" s="102"/>
      <c r="C98" s="9"/>
      <c r="D98" s="53"/>
      <c r="E98" s="49"/>
      <c r="F98" s="53"/>
      <c r="G98" s="53"/>
      <c r="H98" s="49"/>
      <c r="I98" s="53"/>
      <c r="J98" s="53"/>
      <c r="K98" s="53"/>
      <c r="L98" s="53"/>
      <c r="O98"/>
      <c r="P98"/>
      <c r="Q98"/>
      <c r="R98"/>
      <c r="S98"/>
      <c r="T98"/>
      <c r="U98"/>
      <c r="V98"/>
    </row>
    <row r="99" spans="2:22" x14ac:dyDescent="0.25">
      <c r="B99" s="102"/>
      <c r="C99" s="9"/>
      <c r="D99" s="53"/>
      <c r="E99" s="49"/>
      <c r="F99" s="53"/>
      <c r="G99" s="53"/>
      <c r="H99" s="49"/>
      <c r="I99" s="53"/>
      <c r="J99" s="53"/>
      <c r="K99" s="53"/>
      <c r="L99" s="53"/>
      <c r="O99"/>
      <c r="P99"/>
      <c r="Q99"/>
      <c r="R99"/>
      <c r="S99"/>
      <c r="T99"/>
      <c r="U99"/>
      <c r="V99"/>
    </row>
    <row r="100" spans="2:22" x14ac:dyDescent="0.25">
      <c r="C100" s="3"/>
      <c r="D100" s="92"/>
      <c r="E100" s="93"/>
      <c r="F100" s="92"/>
      <c r="G100" s="92"/>
      <c r="H100" s="93"/>
      <c r="I100" s="92"/>
      <c r="J100" s="92"/>
      <c r="K100" s="92"/>
      <c r="L100" s="92"/>
      <c r="O100"/>
      <c r="P100"/>
      <c r="Q100"/>
      <c r="R100"/>
      <c r="S100"/>
      <c r="T100"/>
      <c r="U100"/>
      <c r="V100"/>
    </row>
    <row r="101" spans="2:22" x14ac:dyDescent="0.25">
      <c r="C101" s="3"/>
      <c r="D101" s="92"/>
      <c r="E101" s="93"/>
      <c r="F101" s="92"/>
      <c r="G101" s="92"/>
      <c r="H101" s="93"/>
      <c r="I101" s="92"/>
      <c r="J101" s="92"/>
      <c r="K101" s="92"/>
      <c r="L101" s="92"/>
      <c r="O101"/>
      <c r="P101"/>
      <c r="Q101"/>
      <c r="R101"/>
      <c r="S101"/>
      <c r="T101"/>
      <c r="U101"/>
      <c r="V101"/>
    </row>
    <row r="102" spans="2:22" x14ac:dyDescent="0.25">
      <c r="C102" s="3"/>
      <c r="D102" s="92"/>
      <c r="E102" s="93"/>
      <c r="F102" s="92"/>
      <c r="G102" s="92"/>
      <c r="H102" s="93"/>
      <c r="I102" s="92"/>
      <c r="J102" s="92"/>
      <c r="K102" s="92"/>
      <c r="L102" s="92"/>
      <c r="O102"/>
      <c r="P102"/>
      <c r="Q102"/>
      <c r="R102"/>
      <c r="S102"/>
      <c r="T102"/>
      <c r="U102"/>
      <c r="V102"/>
    </row>
    <row r="103" spans="2:22" x14ac:dyDescent="0.25">
      <c r="C103" s="3"/>
      <c r="D103" s="92"/>
      <c r="E103" s="93"/>
      <c r="F103" s="92"/>
      <c r="G103" s="92"/>
      <c r="H103" s="93"/>
      <c r="I103" s="92"/>
      <c r="J103" s="92"/>
      <c r="K103" s="92"/>
      <c r="L103" s="92"/>
      <c r="O103"/>
      <c r="P103"/>
      <c r="Q103"/>
      <c r="R103"/>
      <c r="S103"/>
      <c r="T103"/>
      <c r="U103"/>
      <c r="V103"/>
    </row>
    <row r="104" spans="2:22" x14ac:dyDescent="0.25">
      <c r="C104" s="3"/>
      <c r="D104" s="92"/>
      <c r="E104" s="93"/>
      <c r="F104" s="92"/>
      <c r="G104" s="92"/>
      <c r="H104" s="93"/>
      <c r="I104" s="92"/>
      <c r="J104" s="92"/>
      <c r="K104" s="92"/>
      <c r="L104" s="92"/>
      <c r="O104"/>
      <c r="P104"/>
      <c r="Q104"/>
      <c r="R104"/>
      <c r="S104"/>
      <c r="T104"/>
      <c r="U104"/>
      <c r="V104"/>
    </row>
    <row r="105" spans="2:22" x14ac:dyDescent="0.25">
      <c r="C105" s="3"/>
      <c r="D105" s="92"/>
      <c r="E105" s="93"/>
      <c r="F105" s="92"/>
      <c r="G105" s="92"/>
      <c r="H105" s="93"/>
      <c r="I105" s="92"/>
      <c r="J105" s="92"/>
      <c r="K105" s="92"/>
      <c r="L105" s="92"/>
      <c r="O105"/>
      <c r="P105"/>
      <c r="Q105"/>
      <c r="R105"/>
      <c r="S105"/>
      <c r="T105"/>
      <c r="U105"/>
      <c r="V105"/>
    </row>
    <row r="106" spans="2:22" x14ac:dyDescent="0.25">
      <c r="C106" s="3"/>
      <c r="D106" s="92"/>
      <c r="E106" s="93"/>
      <c r="F106" s="92"/>
      <c r="G106" s="92"/>
      <c r="H106" s="93"/>
      <c r="I106" s="92"/>
      <c r="J106" s="92"/>
      <c r="K106" s="92"/>
      <c r="L106" s="92"/>
      <c r="O106"/>
      <c r="P106"/>
      <c r="Q106"/>
      <c r="R106"/>
      <c r="S106"/>
      <c r="T106"/>
      <c r="U106"/>
      <c r="V106"/>
    </row>
    <row r="107" spans="2:22" x14ac:dyDescent="0.25">
      <c r="C107" s="3"/>
      <c r="D107" s="92"/>
      <c r="E107" s="93"/>
      <c r="F107" s="92"/>
      <c r="G107" s="92"/>
      <c r="H107" s="93"/>
      <c r="I107" s="92"/>
      <c r="J107" s="92"/>
      <c r="K107" s="92"/>
      <c r="L107" s="92"/>
      <c r="O107"/>
      <c r="P107"/>
      <c r="Q107"/>
      <c r="R107"/>
      <c r="S107"/>
      <c r="T107"/>
      <c r="U107"/>
      <c r="V107"/>
    </row>
    <row r="108" spans="2:22" x14ac:dyDescent="0.25">
      <c r="C108" s="3"/>
      <c r="D108" s="92"/>
      <c r="E108" s="93"/>
      <c r="F108" s="92"/>
      <c r="G108" s="92"/>
      <c r="H108" s="93"/>
      <c r="I108" s="92"/>
      <c r="J108" s="92"/>
      <c r="K108" s="92"/>
      <c r="L108" s="92"/>
      <c r="O108"/>
      <c r="P108"/>
      <c r="Q108"/>
      <c r="R108"/>
      <c r="S108"/>
      <c r="T108"/>
      <c r="U108"/>
      <c r="V108"/>
    </row>
    <row r="109" spans="2:22" x14ac:dyDescent="0.25">
      <c r="C109" s="3"/>
      <c r="D109" s="92"/>
      <c r="E109" s="93"/>
      <c r="F109" s="92"/>
      <c r="G109" s="92"/>
      <c r="H109" s="93"/>
      <c r="I109" s="92"/>
      <c r="J109" s="92"/>
      <c r="K109" s="92"/>
      <c r="L109" s="92"/>
      <c r="O109"/>
      <c r="P109"/>
      <c r="Q109"/>
      <c r="R109"/>
      <c r="S109"/>
      <c r="T109"/>
      <c r="U109"/>
      <c r="V109"/>
    </row>
    <row r="110" spans="2:22" x14ac:dyDescent="0.25">
      <c r="C110" s="3"/>
      <c r="D110" s="92"/>
      <c r="E110" s="93"/>
      <c r="F110" s="92"/>
      <c r="G110" s="92"/>
      <c r="H110" s="93"/>
      <c r="I110" s="92"/>
      <c r="J110" s="92"/>
      <c r="K110" s="92"/>
      <c r="L110" s="92"/>
      <c r="O110"/>
      <c r="P110"/>
      <c r="Q110"/>
      <c r="R110"/>
      <c r="S110"/>
      <c r="T110"/>
      <c r="U110"/>
      <c r="V110"/>
    </row>
    <row r="111" spans="2:22" x14ac:dyDescent="0.25">
      <c r="C111" s="3"/>
      <c r="D111" s="92"/>
      <c r="E111" s="93"/>
      <c r="F111" s="92"/>
      <c r="G111" s="92"/>
      <c r="H111" s="93"/>
      <c r="I111" s="92"/>
      <c r="J111" s="92"/>
      <c r="K111" s="92"/>
      <c r="L111" s="92"/>
      <c r="O111"/>
      <c r="P111"/>
      <c r="Q111"/>
      <c r="R111"/>
      <c r="S111"/>
      <c r="T111"/>
      <c r="U111"/>
      <c r="V111"/>
    </row>
    <row r="112" spans="2:22" x14ac:dyDescent="0.25">
      <c r="C112" s="3"/>
      <c r="D112" s="92"/>
      <c r="E112" s="93"/>
      <c r="F112" s="92"/>
      <c r="G112" s="92"/>
      <c r="H112" s="93"/>
      <c r="I112" s="92"/>
      <c r="J112" s="92"/>
      <c r="K112" s="92"/>
      <c r="L112" s="92"/>
    </row>
    <row r="113" spans="3:12" x14ac:dyDescent="0.25">
      <c r="C113" s="3"/>
      <c r="D113" s="92"/>
      <c r="E113" s="93"/>
      <c r="F113" s="92"/>
      <c r="G113" s="92"/>
      <c r="H113" s="93"/>
      <c r="I113" s="92"/>
      <c r="J113" s="92"/>
      <c r="K113" s="92"/>
      <c r="L113" s="92"/>
    </row>
  </sheetData>
  <pageMargins left="0.78740157499999996" right="0.78740157499999996" top="0.984251969" bottom="0.984251969" header="0.5" footer="0.5"/>
  <pageSetup paperSize="8" scale="63" orientation="landscape" horizontalDpi="200" verticalDpi="200"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334"/>
  <sheetViews>
    <sheetView zoomScaleNormal="100" workbookViewId="0">
      <pane ySplit="3" topLeftCell="A115" activePane="bottomLeft" state="frozen"/>
      <selection activeCell="J156" sqref="J156"/>
      <selection pane="bottomLeft" activeCell="J156" sqref="J156"/>
    </sheetView>
  </sheetViews>
  <sheetFormatPr baseColWidth="10" defaultColWidth="11.44140625" defaultRowHeight="11.4" x14ac:dyDescent="0.2"/>
  <cols>
    <col min="1" max="1" width="12.33203125" style="12" customWidth="1"/>
    <col min="2" max="2" width="33.88671875" style="12" customWidth="1"/>
    <col min="3" max="3" width="17" style="13" customWidth="1"/>
    <col min="4" max="4" width="15.33203125" style="13" customWidth="1"/>
    <col min="5" max="5" width="17" style="13" customWidth="1"/>
    <col min="6" max="6" width="4" style="12" customWidth="1"/>
    <col min="7" max="7" width="14.88671875" style="14" customWidth="1"/>
    <col min="8" max="8" width="13.88671875" style="14" bestFit="1" customWidth="1"/>
    <col min="9" max="9" width="3.5546875" style="26" customWidth="1"/>
    <col min="10" max="10" width="43" style="14" customWidth="1"/>
    <col min="11" max="11" width="34.44140625" style="20" customWidth="1"/>
    <col min="12" max="14" width="11.44140625" style="20"/>
    <col min="15" max="16384" width="11.44140625" style="12"/>
  </cols>
  <sheetData>
    <row r="1" spans="1:11" ht="15.6" x14ac:dyDescent="0.3">
      <c r="A1" s="123" t="s">
        <v>78</v>
      </c>
      <c r="G1" s="114"/>
    </row>
    <row r="2" spans="1:11" ht="12" x14ac:dyDescent="0.25">
      <c r="A2" s="15" t="s">
        <v>222</v>
      </c>
      <c r="C2" s="99" t="s">
        <v>223</v>
      </c>
      <c r="D2" s="99" t="s">
        <v>54</v>
      </c>
      <c r="G2" s="99" t="s">
        <v>54</v>
      </c>
      <c r="H2" s="99" t="s">
        <v>53</v>
      </c>
    </row>
    <row r="3" spans="1:11" ht="12" x14ac:dyDescent="0.25">
      <c r="A3" s="15" t="s">
        <v>86</v>
      </c>
      <c r="E3" s="115" t="s">
        <v>42</v>
      </c>
      <c r="G3" s="27">
        <f>+'Personalkost ON pr febr'!B62</f>
        <v>0.90051020408163263</v>
      </c>
      <c r="H3" s="27">
        <f>'Personalkost ON pr febr'!B61</f>
        <v>9.9489795918367346E-2</v>
      </c>
      <c r="I3" s="27"/>
      <c r="J3" s="27" t="s">
        <v>9</v>
      </c>
      <c r="K3" s="28"/>
    </row>
    <row r="4" spans="1:11" ht="12" x14ac:dyDescent="0.25">
      <c r="G4" s="17" t="s">
        <v>52</v>
      </c>
      <c r="H4" s="97" t="s">
        <v>51</v>
      </c>
      <c r="I4" s="100"/>
      <c r="J4" s="84"/>
    </row>
    <row r="5" spans="1:11" ht="12" x14ac:dyDescent="0.25">
      <c r="G5" s="17"/>
      <c r="H5" s="97"/>
      <c r="I5" s="100"/>
      <c r="J5" s="84"/>
    </row>
    <row r="6" spans="1:11" x14ac:dyDescent="0.2">
      <c r="A6" s="40">
        <v>30601</v>
      </c>
      <c r="B6" s="110" t="s">
        <v>215</v>
      </c>
      <c r="C6" s="94">
        <v>-2963196.3</v>
      </c>
      <c r="D6" s="87"/>
      <c r="E6" s="87">
        <f>+C6-D6</f>
        <v>-2963196.3</v>
      </c>
      <c r="G6" s="16"/>
      <c r="H6" s="98">
        <f>+E6</f>
        <v>-2963196.3</v>
      </c>
      <c r="I6" s="22"/>
      <c r="J6" s="85"/>
      <c r="K6" s="21"/>
    </row>
    <row r="7" spans="1:11" x14ac:dyDescent="0.2">
      <c r="A7" s="40">
        <v>30602</v>
      </c>
      <c r="B7" s="110" t="s">
        <v>216</v>
      </c>
      <c r="C7" s="94">
        <v>-2400</v>
      </c>
      <c r="D7" s="87"/>
      <c r="E7" s="87">
        <f>+C7-D7</f>
        <v>-2400</v>
      </c>
      <c r="G7" s="16"/>
      <c r="H7" s="98">
        <f>+E7</f>
        <v>-2400</v>
      </c>
      <c r="I7" s="22"/>
      <c r="J7" s="85"/>
      <c r="K7" s="21"/>
    </row>
    <row r="8" spans="1:11" x14ac:dyDescent="0.2">
      <c r="A8" s="40">
        <v>32601</v>
      </c>
      <c r="B8" s="110" t="s">
        <v>217</v>
      </c>
      <c r="C8" s="94">
        <v>-3352.83</v>
      </c>
      <c r="D8" s="87"/>
      <c r="E8" s="87">
        <f>+C8-D8</f>
        <v>-3352.83</v>
      </c>
      <c r="G8" s="16"/>
      <c r="H8" s="98">
        <f>+E8</f>
        <v>-3352.83</v>
      </c>
      <c r="I8" s="22"/>
      <c r="J8" s="85"/>
      <c r="K8" s="21"/>
    </row>
    <row r="9" spans="1:11" x14ac:dyDescent="0.2">
      <c r="A9" s="40">
        <v>32602</v>
      </c>
      <c r="B9" s="110" t="s">
        <v>217</v>
      </c>
      <c r="C9" s="94">
        <v>-460</v>
      </c>
      <c r="D9" s="87"/>
      <c r="E9" s="87">
        <f>+C9-D9</f>
        <v>-460</v>
      </c>
      <c r="G9" s="16"/>
      <c r="H9" s="98">
        <f>+E9</f>
        <v>-460</v>
      </c>
      <c r="I9" s="22"/>
      <c r="J9" s="85"/>
      <c r="K9" s="21"/>
    </row>
    <row r="10" spans="1:11" x14ac:dyDescent="0.2">
      <c r="A10" s="40"/>
      <c r="B10" s="110"/>
      <c r="C10" s="94"/>
      <c r="D10" s="87"/>
      <c r="E10" s="87"/>
      <c r="G10" s="16"/>
      <c r="H10" s="98"/>
      <c r="I10" s="22"/>
      <c r="J10" s="85"/>
      <c r="K10" s="21"/>
    </row>
    <row r="11" spans="1:11" ht="12" x14ac:dyDescent="0.25">
      <c r="G11" s="17"/>
      <c r="H11" s="97"/>
      <c r="I11" s="100"/>
      <c r="J11" s="84"/>
      <c r="K11" s="21"/>
    </row>
    <row r="12" spans="1:11" x14ac:dyDescent="0.2">
      <c r="A12" s="40">
        <v>45108</v>
      </c>
      <c r="B12" s="110" t="s">
        <v>87</v>
      </c>
      <c r="C12" s="94">
        <v>5400</v>
      </c>
      <c r="D12" s="87"/>
      <c r="E12" s="87">
        <f>+C12-D12</f>
        <v>5400</v>
      </c>
      <c r="G12" s="16">
        <f t="shared" ref="G12:G17" si="0">+E12</f>
        <v>5400</v>
      </c>
      <c r="H12" s="98"/>
      <c r="I12" s="22"/>
      <c r="J12" s="85"/>
      <c r="K12" s="21"/>
    </row>
    <row r="13" spans="1:11" x14ac:dyDescent="0.2">
      <c r="A13" s="40">
        <v>45201</v>
      </c>
      <c r="B13" s="110" t="s">
        <v>88</v>
      </c>
      <c r="C13" s="94">
        <v>3813436.75</v>
      </c>
      <c r="D13" s="87"/>
      <c r="E13" s="87">
        <f t="shared" ref="E13:E78" si="1">+C13-D13</f>
        <v>3813436.75</v>
      </c>
      <c r="G13" s="16">
        <f t="shared" si="0"/>
        <v>3813436.75</v>
      </c>
      <c r="H13" s="98"/>
      <c r="I13" s="22"/>
      <c r="J13" s="85"/>
      <c r="K13" s="21"/>
    </row>
    <row r="14" spans="1:11" x14ac:dyDescent="0.2">
      <c r="A14" s="40">
        <v>45601</v>
      </c>
      <c r="B14" s="110" t="s">
        <v>44</v>
      </c>
      <c r="C14" s="94">
        <v>18991.12</v>
      </c>
      <c r="D14" s="87"/>
      <c r="E14" s="87">
        <f t="shared" si="1"/>
        <v>18991.12</v>
      </c>
      <c r="G14" s="16">
        <f t="shared" si="0"/>
        <v>18991.12</v>
      </c>
      <c r="H14" s="98"/>
      <c r="I14" s="22"/>
      <c r="J14" s="85"/>
      <c r="K14" s="21"/>
    </row>
    <row r="15" spans="1:11" x14ac:dyDescent="0.2">
      <c r="A15" s="40">
        <v>47901</v>
      </c>
      <c r="B15" s="110" t="s">
        <v>89</v>
      </c>
      <c r="C15" s="94">
        <v>6411641.0499999998</v>
      </c>
      <c r="D15" s="87"/>
      <c r="E15" s="87">
        <f t="shared" si="1"/>
        <v>6411641.0499999998</v>
      </c>
      <c r="G15" s="16">
        <f t="shared" si="0"/>
        <v>6411641.0499999998</v>
      </c>
      <c r="H15" s="98"/>
      <c r="I15" s="22"/>
      <c r="J15" s="85"/>
      <c r="K15" s="21"/>
    </row>
    <row r="16" spans="1:11" x14ac:dyDescent="0.2">
      <c r="A16" s="40">
        <v>48101</v>
      </c>
      <c r="B16" s="110" t="s">
        <v>90</v>
      </c>
      <c r="C16" s="94">
        <v>364820.82</v>
      </c>
      <c r="D16" s="87"/>
      <c r="E16" s="87">
        <f t="shared" si="1"/>
        <v>364820.82</v>
      </c>
      <c r="G16" s="16">
        <f t="shared" si="0"/>
        <v>364820.82</v>
      </c>
      <c r="H16" s="98"/>
      <c r="I16" s="22"/>
      <c r="J16" s="85"/>
      <c r="K16" s="21"/>
    </row>
    <row r="17" spans="1:11" x14ac:dyDescent="0.2">
      <c r="A17" s="40">
        <v>48201</v>
      </c>
      <c r="B17" s="110" t="s">
        <v>50</v>
      </c>
      <c r="C17" s="94">
        <v>321694.25</v>
      </c>
      <c r="D17" s="87"/>
      <c r="E17" s="87">
        <f t="shared" si="1"/>
        <v>321694.25</v>
      </c>
      <c r="G17" s="16">
        <f t="shared" si="0"/>
        <v>321694.25</v>
      </c>
      <c r="H17" s="98"/>
      <c r="I17" s="22"/>
      <c r="J17" s="85"/>
      <c r="K17" s="21"/>
    </row>
    <row r="18" spans="1:11" ht="13.2" x14ac:dyDescent="0.25">
      <c r="A18" s="113"/>
      <c r="C18" s="94"/>
      <c r="D18" s="87"/>
      <c r="E18" s="87"/>
      <c r="G18" s="16"/>
      <c r="H18" s="22"/>
      <c r="I18" s="22"/>
      <c r="J18" s="85"/>
      <c r="K18" s="21"/>
    </row>
    <row r="19" spans="1:11" x14ac:dyDescent="0.2">
      <c r="A19" s="40">
        <v>50101</v>
      </c>
      <c r="B19" s="110" t="s">
        <v>91</v>
      </c>
      <c r="C19" s="94">
        <v>15517699.15</v>
      </c>
      <c r="D19" s="87"/>
      <c r="E19" s="87">
        <f t="shared" si="1"/>
        <v>15517699.15</v>
      </c>
      <c r="G19" s="16">
        <f>+E19-H19</f>
        <v>13721349.15</v>
      </c>
      <c r="H19" s="116">
        <f>898175*2</f>
        <v>1796350</v>
      </c>
      <c r="I19" s="22"/>
      <c r="J19" s="85"/>
      <c r="K19" s="21"/>
    </row>
    <row r="20" spans="1:11" x14ac:dyDescent="0.2">
      <c r="A20" s="40">
        <v>50102</v>
      </c>
      <c r="B20" s="110" t="s">
        <v>92</v>
      </c>
      <c r="C20" s="94">
        <v>-66499.679999999993</v>
      </c>
      <c r="D20" s="87"/>
      <c r="E20" s="87">
        <f t="shared" si="1"/>
        <v>-66499.679999999993</v>
      </c>
      <c r="G20" s="16">
        <f t="shared" ref="G20:G49" si="2">+E20-H20</f>
        <v>-66499.679999999993</v>
      </c>
      <c r="H20" s="98"/>
      <c r="I20" s="22"/>
      <c r="J20" s="85"/>
      <c r="K20" s="21"/>
    </row>
    <row r="21" spans="1:11" x14ac:dyDescent="0.2">
      <c r="A21" s="40">
        <v>50103</v>
      </c>
      <c r="B21" s="110" t="s">
        <v>93</v>
      </c>
      <c r="C21" s="94">
        <v>408109.96</v>
      </c>
      <c r="D21" s="87"/>
      <c r="E21" s="87">
        <f t="shared" si="1"/>
        <v>408109.96</v>
      </c>
      <c r="G21" s="16">
        <f t="shared" si="2"/>
        <v>408109.96</v>
      </c>
      <c r="H21" s="98"/>
      <c r="I21" s="22"/>
      <c r="J21" s="85"/>
      <c r="K21" s="21"/>
    </row>
    <row r="22" spans="1:11" x14ac:dyDescent="0.2">
      <c r="A22" s="40">
        <v>50105</v>
      </c>
      <c r="B22" s="110" t="s">
        <v>94</v>
      </c>
      <c r="C22" s="94">
        <v>629789.55000000005</v>
      </c>
      <c r="D22" s="87"/>
      <c r="E22" s="87">
        <f t="shared" si="1"/>
        <v>629789.55000000005</v>
      </c>
      <c r="G22" s="16">
        <f t="shared" si="2"/>
        <v>629789.55000000005</v>
      </c>
      <c r="H22" s="98"/>
      <c r="I22" s="22"/>
      <c r="J22" s="85"/>
      <c r="K22" s="21"/>
    </row>
    <row r="23" spans="1:11" x14ac:dyDescent="0.2">
      <c r="A23" s="40">
        <v>50107</v>
      </c>
      <c r="B23" s="110" t="s">
        <v>95</v>
      </c>
      <c r="C23" s="94">
        <v>2200</v>
      </c>
      <c r="D23" s="87"/>
      <c r="E23" s="87">
        <f t="shared" si="1"/>
        <v>2200</v>
      </c>
      <c r="G23" s="16">
        <f t="shared" si="2"/>
        <v>2200</v>
      </c>
      <c r="H23" s="98"/>
      <c r="I23" s="22"/>
      <c r="J23" s="85"/>
      <c r="K23" s="21"/>
    </row>
    <row r="24" spans="1:11" x14ac:dyDescent="0.2">
      <c r="A24" s="40">
        <v>50117</v>
      </c>
      <c r="B24" s="110" t="s">
        <v>96</v>
      </c>
      <c r="C24" s="94">
        <v>1113006</v>
      </c>
      <c r="D24" s="87"/>
      <c r="E24" s="87">
        <f t="shared" si="1"/>
        <v>1113006</v>
      </c>
      <c r="G24" s="16">
        <f t="shared" si="2"/>
        <v>1113006</v>
      </c>
      <c r="H24" s="98"/>
      <c r="I24" s="22"/>
      <c r="J24" s="85"/>
      <c r="K24" s="21"/>
    </row>
    <row r="25" spans="1:11" x14ac:dyDescent="0.2">
      <c r="A25" s="40">
        <v>50121</v>
      </c>
      <c r="B25" s="110" t="s">
        <v>97</v>
      </c>
      <c r="C25" s="94">
        <v>-3881959.01</v>
      </c>
      <c r="D25" s="87"/>
      <c r="E25" s="87">
        <f t="shared" si="1"/>
        <v>-3881959.01</v>
      </c>
      <c r="G25" s="16">
        <f t="shared" si="2"/>
        <v>-3881959.01</v>
      </c>
      <c r="H25" s="98"/>
      <c r="I25" s="22"/>
      <c r="J25" s="85"/>
      <c r="K25" s="21"/>
    </row>
    <row r="26" spans="1:11" x14ac:dyDescent="0.2">
      <c r="A26" s="40">
        <v>50133</v>
      </c>
      <c r="B26" s="110" t="s">
        <v>98</v>
      </c>
      <c r="C26" s="94">
        <v>38041.9</v>
      </c>
      <c r="D26" s="87"/>
      <c r="E26" s="87">
        <f t="shared" si="1"/>
        <v>38041.9</v>
      </c>
      <c r="G26" s="16">
        <f t="shared" si="2"/>
        <v>38041.9</v>
      </c>
      <c r="H26" s="98"/>
      <c r="I26" s="22"/>
      <c r="J26" s="85"/>
      <c r="K26" s="21"/>
    </row>
    <row r="27" spans="1:11" x14ac:dyDescent="0.2">
      <c r="A27" s="40">
        <v>50137</v>
      </c>
      <c r="B27" s="110" t="s">
        <v>99</v>
      </c>
      <c r="C27" s="94">
        <v>-43803</v>
      </c>
      <c r="D27" s="87"/>
      <c r="E27" s="87">
        <f t="shared" si="1"/>
        <v>-43803</v>
      </c>
      <c r="G27" s="16">
        <f t="shared" si="2"/>
        <v>-43803</v>
      </c>
      <c r="H27" s="98"/>
      <c r="I27" s="22"/>
      <c r="J27" s="85"/>
      <c r="K27" s="21"/>
    </row>
    <row r="28" spans="1:11" x14ac:dyDescent="0.2">
      <c r="A28" s="40">
        <v>50141</v>
      </c>
      <c r="B28" s="110" t="s">
        <v>100</v>
      </c>
      <c r="C28" s="94">
        <v>1643856.96</v>
      </c>
      <c r="D28" s="87"/>
      <c r="E28" s="87">
        <f t="shared" si="1"/>
        <v>1643856.96</v>
      </c>
      <c r="G28" s="16">
        <f t="shared" si="2"/>
        <v>1643856.96</v>
      </c>
      <c r="H28" s="98"/>
      <c r="I28" s="22"/>
      <c r="J28" s="85"/>
      <c r="K28" s="21"/>
    </row>
    <row r="29" spans="1:11" x14ac:dyDescent="0.2">
      <c r="A29" s="40">
        <v>50203</v>
      </c>
      <c r="B29" s="110" t="s">
        <v>101</v>
      </c>
      <c r="C29" s="94">
        <v>552927.61</v>
      </c>
      <c r="D29" s="87"/>
      <c r="E29" s="87">
        <f t="shared" si="1"/>
        <v>552927.61</v>
      </c>
      <c r="G29" s="16">
        <f t="shared" si="2"/>
        <v>552927.61</v>
      </c>
      <c r="H29" s="98"/>
      <c r="I29" s="22"/>
      <c r="J29" s="85"/>
      <c r="K29" s="21"/>
    </row>
    <row r="30" spans="1:11" x14ac:dyDescent="0.2">
      <c r="A30" s="40">
        <v>50204</v>
      </c>
      <c r="B30" s="110" t="s">
        <v>101</v>
      </c>
      <c r="C30" s="94">
        <v>-552927.61</v>
      </c>
      <c r="D30" s="87"/>
      <c r="E30" s="87">
        <f t="shared" si="1"/>
        <v>-552927.61</v>
      </c>
      <c r="G30" s="16">
        <f t="shared" si="2"/>
        <v>-552927.61</v>
      </c>
      <c r="H30" s="98"/>
      <c r="I30" s="22"/>
      <c r="J30" s="85"/>
      <c r="K30" s="21"/>
    </row>
    <row r="31" spans="1:11" x14ac:dyDescent="0.2">
      <c r="A31" s="40">
        <v>51101</v>
      </c>
      <c r="B31" s="110" t="s">
        <v>102</v>
      </c>
      <c r="C31" s="94">
        <v>388198.11</v>
      </c>
      <c r="D31" s="87"/>
      <c r="E31" s="87">
        <f t="shared" si="1"/>
        <v>388198.11</v>
      </c>
      <c r="G31" s="16">
        <f t="shared" si="2"/>
        <v>388198.11</v>
      </c>
      <c r="H31" s="98"/>
      <c r="I31" s="22"/>
      <c r="J31" s="85"/>
      <c r="K31" s="21"/>
    </row>
    <row r="32" spans="1:11" x14ac:dyDescent="0.2">
      <c r="A32" s="40">
        <v>51105</v>
      </c>
      <c r="B32" s="110" t="s">
        <v>103</v>
      </c>
      <c r="C32" s="94">
        <v>19292.28</v>
      </c>
      <c r="D32" s="87"/>
      <c r="E32" s="87">
        <f t="shared" si="1"/>
        <v>19292.28</v>
      </c>
      <c r="G32" s="16">
        <f t="shared" si="2"/>
        <v>19292.28</v>
      </c>
      <c r="H32" s="98"/>
      <c r="I32" s="22"/>
      <c r="J32" s="85"/>
      <c r="K32" s="21"/>
    </row>
    <row r="33" spans="1:11" x14ac:dyDescent="0.2">
      <c r="A33" s="40">
        <v>52101</v>
      </c>
      <c r="B33" s="110" t="s">
        <v>104</v>
      </c>
      <c r="C33" s="94">
        <v>2067798.4</v>
      </c>
      <c r="D33" s="87"/>
      <c r="E33" s="87">
        <f t="shared" si="1"/>
        <v>2067798.4</v>
      </c>
      <c r="G33" s="16">
        <f t="shared" si="2"/>
        <v>2067798.4</v>
      </c>
      <c r="H33" s="98"/>
      <c r="I33" s="22"/>
      <c r="J33" s="85"/>
      <c r="K33" s="21"/>
    </row>
    <row r="34" spans="1:11" x14ac:dyDescent="0.2">
      <c r="A34" s="40">
        <v>52102</v>
      </c>
      <c r="B34" s="110" t="s">
        <v>105</v>
      </c>
      <c r="C34" s="94">
        <v>-165611.28</v>
      </c>
      <c r="D34" s="87"/>
      <c r="E34" s="87">
        <f t="shared" si="1"/>
        <v>-165611.28</v>
      </c>
      <c r="G34" s="16">
        <f t="shared" si="2"/>
        <v>-165611.28</v>
      </c>
      <c r="H34" s="98"/>
      <c r="I34" s="22"/>
      <c r="J34" s="85"/>
      <c r="K34" s="21"/>
    </row>
    <row r="35" spans="1:11" x14ac:dyDescent="0.2">
      <c r="A35" s="40">
        <v>52103</v>
      </c>
      <c r="B35" s="110" t="s">
        <v>106</v>
      </c>
      <c r="C35" s="94">
        <v>1001905.14</v>
      </c>
      <c r="D35" s="87"/>
      <c r="E35" s="87">
        <f t="shared" si="1"/>
        <v>1001905.14</v>
      </c>
      <c r="G35" s="16">
        <f t="shared" si="2"/>
        <v>1001905.14</v>
      </c>
      <c r="H35" s="98"/>
      <c r="I35" s="22"/>
      <c r="J35" s="85"/>
      <c r="K35" s="21"/>
    </row>
    <row r="36" spans="1:11" x14ac:dyDescent="0.2">
      <c r="A36" s="40">
        <v>52105</v>
      </c>
      <c r="B36" s="110" t="s">
        <v>107</v>
      </c>
      <c r="C36" s="94">
        <v>-1001905.14</v>
      </c>
      <c r="D36" s="87"/>
      <c r="E36" s="87">
        <f t="shared" si="1"/>
        <v>-1001905.14</v>
      </c>
      <c r="G36" s="16">
        <f t="shared" si="2"/>
        <v>-1001905.14</v>
      </c>
      <c r="H36" s="98"/>
      <c r="I36" s="22"/>
      <c r="J36" s="85"/>
      <c r="K36" s="21"/>
    </row>
    <row r="37" spans="1:11" x14ac:dyDescent="0.2">
      <c r="A37" s="40">
        <v>53121</v>
      </c>
      <c r="B37" s="110" t="s">
        <v>108</v>
      </c>
      <c r="C37" s="94">
        <v>140228</v>
      </c>
      <c r="D37" s="87"/>
      <c r="E37" s="87">
        <f t="shared" si="1"/>
        <v>140228</v>
      </c>
      <c r="G37" s="16">
        <f t="shared" si="2"/>
        <v>140228</v>
      </c>
      <c r="H37" s="98"/>
      <c r="I37" s="22"/>
      <c r="J37" s="85"/>
      <c r="K37" s="21"/>
    </row>
    <row r="38" spans="1:11" x14ac:dyDescent="0.2">
      <c r="A38" s="40">
        <v>54101</v>
      </c>
      <c r="B38" s="110" t="s">
        <v>109</v>
      </c>
      <c r="C38" s="94">
        <v>3081810.42</v>
      </c>
      <c r="D38" s="87"/>
      <c r="E38" s="87">
        <f t="shared" si="1"/>
        <v>3081810.42</v>
      </c>
      <c r="G38" s="16">
        <f t="shared" si="2"/>
        <v>2828524.42</v>
      </c>
      <c r="H38" s="98">
        <f>126643*2</f>
        <v>253286</v>
      </c>
      <c r="I38" s="22"/>
      <c r="J38" s="86"/>
      <c r="K38" s="21"/>
    </row>
    <row r="39" spans="1:11" x14ac:dyDescent="0.2">
      <c r="A39" s="40">
        <v>54109</v>
      </c>
      <c r="B39" s="110" t="s">
        <v>110</v>
      </c>
      <c r="C39" s="94">
        <v>-560310.77</v>
      </c>
      <c r="D39" s="87"/>
      <c r="E39" s="87">
        <f t="shared" si="1"/>
        <v>-560310.77</v>
      </c>
      <c r="G39" s="16">
        <f t="shared" si="2"/>
        <v>-560310.77</v>
      </c>
      <c r="H39" s="98"/>
      <c r="I39" s="22"/>
      <c r="J39" s="85"/>
      <c r="K39" s="21"/>
    </row>
    <row r="40" spans="1:11" x14ac:dyDescent="0.2">
      <c r="A40" s="40">
        <v>54112</v>
      </c>
      <c r="B40" s="110" t="s">
        <v>111</v>
      </c>
      <c r="C40" s="94">
        <v>291559.84999999998</v>
      </c>
      <c r="D40" s="87"/>
      <c r="E40" s="87">
        <f t="shared" si="1"/>
        <v>291559.84999999998</v>
      </c>
      <c r="G40" s="16">
        <f t="shared" si="2"/>
        <v>291559.84999999998</v>
      </c>
      <c r="H40" s="98"/>
      <c r="I40" s="22"/>
      <c r="J40" s="85"/>
      <c r="K40" s="21"/>
    </row>
    <row r="41" spans="1:11" x14ac:dyDescent="0.2">
      <c r="A41" s="40">
        <v>54113</v>
      </c>
      <c r="B41" s="110" t="s">
        <v>112</v>
      </c>
      <c r="C41" s="94">
        <v>-140303.69</v>
      </c>
      <c r="D41" s="20"/>
      <c r="E41" s="87">
        <f t="shared" si="1"/>
        <v>-140303.69</v>
      </c>
      <c r="F41" s="20"/>
      <c r="G41" s="16">
        <f t="shared" si="2"/>
        <v>-140303.69</v>
      </c>
      <c r="H41" s="98"/>
      <c r="J41" s="74"/>
      <c r="K41" s="21"/>
    </row>
    <row r="42" spans="1:11" x14ac:dyDescent="0.2">
      <c r="A42" s="40">
        <v>54121</v>
      </c>
      <c r="B42" s="110" t="s">
        <v>113</v>
      </c>
      <c r="C42" s="94">
        <v>-42412.09</v>
      </c>
      <c r="D42" s="20"/>
      <c r="E42" s="87">
        <f t="shared" si="1"/>
        <v>-42412.09</v>
      </c>
      <c r="F42" s="20"/>
      <c r="G42" s="16">
        <f t="shared" si="2"/>
        <v>-42412.09</v>
      </c>
      <c r="H42" s="98"/>
      <c r="J42" s="74"/>
      <c r="K42" s="21"/>
    </row>
    <row r="43" spans="1:11" x14ac:dyDescent="0.2">
      <c r="A43" s="40">
        <v>54204</v>
      </c>
      <c r="B43" s="110" t="s">
        <v>114</v>
      </c>
      <c r="C43" s="94">
        <v>994822.96</v>
      </c>
      <c r="D43" s="20"/>
      <c r="E43" s="87">
        <f t="shared" si="1"/>
        <v>994822.96</v>
      </c>
      <c r="F43" s="20"/>
      <c r="G43" s="16">
        <f t="shared" si="2"/>
        <v>994822.96</v>
      </c>
      <c r="H43" s="98"/>
      <c r="J43" s="74"/>
      <c r="K43" s="21"/>
    </row>
    <row r="44" spans="1:11" x14ac:dyDescent="0.2">
      <c r="A44" s="40">
        <v>54210</v>
      </c>
      <c r="B44" s="110" t="s">
        <v>115</v>
      </c>
      <c r="C44" s="94">
        <v>0</v>
      </c>
      <c r="D44" s="20"/>
      <c r="E44" s="87">
        <f t="shared" si="1"/>
        <v>0</v>
      </c>
      <c r="F44" s="20"/>
      <c r="G44" s="16">
        <f t="shared" si="2"/>
        <v>0</v>
      </c>
      <c r="H44" s="98"/>
      <c r="J44" s="74"/>
      <c r="K44" s="21"/>
    </row>
    <row r="45" spans="1:11" x14ac:dyDescent="0.2">
      <c r="A45" s="40">
        <v>54211</v>
      </c>
      <c r="B45" s="110" t="s">
        <v>116</v>
      </c>
      <c r="C45" s="94">
        <v>7055482</v>
      </c>
      <c r="D45" s="20"/>
      <c r="E45" s="87">
        <f t="shared" si="1"/>
        <v>7055482</v>
      </c>
      <c r="F45" s="20"/>
      <c r="G45" s="16">
        <f t="shared" si="2"/>
        <v>7055482</v>
      </c>
      <c r="H45" s="98"/>
      <c r="J45" s="74"/>
      <c r="K45" s="21"/>
    </row>
    <row r="46" spans="1:11" x14ac:dyDescent="0.2">
      <c r="A46" s="40">
        <v>54214</v>
      </c>
      <c r="B46" s="110" t="s">
        <v>117</v>
      </c>
      <c r="C46" s="94">
        <v>402769.99</v>
      </c>
      <c r="D46" s="20"/>
      <c r="E46" s="87">
        <f t="shared" si="1"/>
        <v>402769.99</v>
      </c>
      <c r="F46" s="20"/>
      <c r="G46" s="16">
        <f t="shared" si="2"/>
        <v>402769.99</v>
      </c>
      <c r="H46" s="98"/>
      <c r="J46" s="74"/>
      <c r="K46" s="21"/>
    </row>
    <row r="47" spans="1:11" x14ac:dyDescent="0.2">
      <c r="A47" s="40">
        <v>54216</v>
      </c>
      <c r="B47" s="110" t="s">
        <v>118</v>
      </c>
      <c r="C47" s="94">
        <v>56790.57</v>
      </c>
      <c r="D47" s="20"/>
      <c r="E47" s="87">
        <f t="shared" si="1"/>
        <v>56790.57</v>
      </c>
      <c r="F47" s="20"/>
      <c r="G47" s="16">
        <f t="shared" si="2"/>
        <v>56790.57</v>
      </c>
      <c r="H47" s="98"/>
      <c r="J47" s="74"/>
      <c r="K47" s="21"/>
    </row>
    <row r="48" spans="1:11" x14ac:dyDescent="0.2">
      <c r="A48" s="40">
        <v>54219</v>
      </c>
      <c r="B48" s="110" t="s">
        <v>119</v>
      </c>
      <c r="C48" s="94">
        <v>-8509865.5199999996</v>
      </c>
      <c r="D48" s="20"/>
      <c r="E48" s="87">
        <f t="shared" si="1"/>
        <v>-8509865.5199999996</v>
      </c>
      <c r="F48" s="20"/>
      <c r="G48" s="16">
        <f t="shared" si="2"/>
        <v>-8509865.5199999996</v>
      </c>
      <c r="H48" s="98"/>
      <c r="J48" s="74"/>
      <c r="K48" s="21"/>
    </row>
    <row r="49" spans="1:11" x14ac:dyDescent="0.2">
      <c r="A49" s="40">
        <v>54220</v>
      </c>
      <c r="B49" s="110" t="s">
        <v>120</v>
      </c>
      <c r="C49" s="94">
        <v>1916666.67</v>
      </c>
      <c r="D49" s="20"/>
      <c r="E49" s="87">
        <f t="shared" si="1"/>
        <v>1916666.67</v>
      </c>
      <c r="F49" s="20"/>
      <c r="G49" s="16">
        <f t="shared" si="2"/>
        <v>1772718.67</v>
      </c>
      <c r="H49" s="98">
        <f>71974*2</f>
        <v>143948</v>
      </c>
      <c r="J49" s="74"/>
      <c r="K49" s="21"/>
    </row>
    <row r="50" spans="1:11" x14ac:dyDescent="0.2">
      <c r="A50" s="20"/>
      <c r="B50" s="110"/>
      <c r="C50" s="94"/>
      <c r="D50" s="20"/>
      <c r="E50" s="87"/>
      <c r="F50" s="20"/>
      <c r="G50" s="16"/>
      <c r="H50" s="22"/>
      <c r="J50" s="74"/>
      <c r="K50" s="21"/>
    </row>
    <row r="51" spans="1:11" x14ac:dyDescent="0.2">
      <c r="A51" s="40">
        <v>56101</v>
      </c>
      <c r="B51" s="110" t="s">
        <v>121</v>
      </c>
      <c r="C51" s="94">
        <v>210177.81</v>
      </c>
      <c r="D51" s="20"/>
      <c r="E51" s="87">
        <f t="shared" si="1"/>
        <v>210177.81</v>
      </c>
      <c r="F51" s="20"/>
      <c r="G51" s="16">
        <f>+E51*$G$3</f>
        <v>189267.2625765306</v>
      </c>
      <c r="H51" s="98">
        <f>+E51*$H$3</f>
        <v>20910.547423469387</v>
      </c>
      <c r="J51" s="74"/>
      <c r="K51" s="21"/>
    </row>
    <row r="52" spans="1:11" x14ac:dyDescent="0.2">
      <c r="A52" s="40">
        <v>56111</v>
      </c>
      <c r="B52" s="110" t="s">
        <v>122</v>
      </c>
      <c r="C52" s="94">
        <v>145134.9</v>
      </c>
      <c r="D52" s="20"/>
      <c r="E52" s="87">
        <f t="shared" si="1"/>
        <v>145134.9</v>
      </c>
      <c r="F52" s="20"/>
      <c r="G52" s="16">
        <f t="shared" ref="G52:G70" si="3">+E52*$G$3</f>
        <v>130695.45841836734</v>
      </c>
      <c r="H52" s="98">
        <f t="shared" ref="H52:H70" si="4">+E52*$H$3</f>
        <v>14439.441581632653</v>
      </c>
      <c r="J52" s="74"/>
      <c r="K52" s="21"/>
    </row>
    <row r="53" spans="1:11" x14ac:dyDescent="0.2">
      <c r="A53" s="40">
        <v>56112</v>
      </c>
      <c r="B53" s="110" t="s">
        <v>123</v>
      </c>
      <c r="C53" s="94">
        <v>-145134.9</v>
      </c>
      <c r="D53" s="20"/>
      <c r="E53" s="87">
        <f t="shared" si="1"/>
        <v>-145134.9</v>
      </c>
      <c r="F53" s="20"/>
      <c r="G53" s="16">
        <f t="shared" si="3"/>
        <v>-130695.45841836734</v>
      </c>
      <c r="H53" s="98">
        <f t="shared" si="4"/>
        <v>-14439.441581632653</v>
      </c>
      <c r="J53" s="74"/>
      <c r="K53" s="21"/>
    </row>
    <row r="54" spans="1:11" x14ac:dyDescent="0.2">
      <c r="A54" s="40">
        <v>56201</v>
      </c>
      <c r="B54" s="110" t="s">
        <v>124</v>
      </c>
      <c r="C54" s="94">
        <v>74</v>
      </c>
      <c r="D54" s="20"/>
      <c r="E54" s="87">
        <f t="shared" si="1"/>
        <v>74</v>
      </c>
      <c r="F54" s="20"/>
      <c r="G54" s="16">
        <f t="shared" si="3"/>
        <v>66.637755102040813</v>
      </c>
      <c r="H54" s="98">
        <f t="shared" si="4"/>
        <v>7.3622448979591839</v>
      </c>
      <c r="J54" s="74"/>
      <c r="K54" s="21"/>
    </row>
    <row r="55" spans="1:11" x14ac:dyDescent="0.2">
      <c r="A55" s="40">
        <v>56203</v>
      </c>
      <c r="B55" s="110" t="s">
        <v>125</v>
      </c>
      <c r="C55" s="94">
        <v>6216</v>
      </c>
      <c r="D55" s="20"/>
      <c r="E55" s="87">
        <f t="shared" si="1"/>
        <v>6216</v>
      </c>
      <c r="F55" s="20"/>
      <c r="G55" s="16">
        <f t="shared" si="3"/>
        <v>5597.5714285714284</v>
      </c>
      <c r="H55" s="98">
        <f t="shared" si="4"/>
        <v>618.42857142857144</v>
      </c>
      <c r="J55" s="74"/>
      <c r="K55" s="21"/>
    </row>
    <row r="56" spans="1:11" x14ac:dyDescent="0.2">
      <c r="A56" s="40">
        <v>59101</v>
      </c>
      <c r="B56" s="110" t="s">
        <v>126</v>
      </c>
      <c r="C56" s="94">
        <v>1899</v>
      </c>
      <c r="D56" s="20"/>
      <c r="E56" s="87">
        <f t="shared" si="1"/>
        <v>1899</v>
      </c>
      <c r="F56" s="20"/>
      <c r="G56" s="16">
        <f t="shared" si="3"/>
        <v>1710.0688775510203</v>
      </c>
      <c r="H56" s="98">
        <f t="shared" si="4"/>
        <v>188.93112244897958</v>
      </c>
      <c r="J56" s="74"/>
      <c r="K56" s="21"/>
    </row>
    <row r="57" spans="1:11" x14ac:dyDescent="0.2">
      <c r="A57" s="40">
        <v>59103</v>
      </c>
      <c r="B57" s="110" t="s">
        <v>127</v>
      </c>
      <c r="C57" s="94">
        <v>24000</v>
      </c>
      <c r="D57" s="20"/>
      <c r="E57" s="87">
        <f t="shared" si="1"/>
        <v>24000</v>
      </c>
      <c r="F57" s="20"/>
      <c r="G57" s="16">
        <f t="shared" si="3"/>
        <v>21612.244897959183</v>
      </c>
      <c r="H57" s="98">
        <f t="shared" si="4"/>
        <v>2387.7551020408164</v>
      </c>
      <c r="J57" s="74"/>
      <c r="K57" s="21"/>
    </row>
    <row r="58" spans="1:11" x14ac:dyDescent="0.2">
      <c r="A58" s="40">
        <v>59111</v>
      </c>
      <c r="B58" s="110" t="s">
        <v>128</v>
      </c>
      <c r="C58" s="94">
        <v>2010</v>
      </c>
      <c r="D58" s="20"/>
      <c r="E58" s="87">
        <f t="shared" si="1"/>
        <v>2010</v>
      </c>
      <c r="F58" s="20"/>
      <c r="G58" s="16">
        <f t="shared" si="3"/>
        <v>1810.0255102040817</v>
      </c>
      <c r="H58" s="98">
        <f t="shared" si="4"/>
        <v>199.97448979591837</v>
      </c>
      <c r="J58" s="74"/>
      <c r="K58" s="21"/>
    </row>
    <row r="59" spans="1:11" x14ac:dyDescent="0.2">
      <c r="A59" s="40">
        <v>59161</v>
      </c>
      <c r="B59" s="110" t="s">
        <v>129</v>
      </c>
      <c r="C59" s="94">
        <v>3905</v>
      </c>
      <c r="D59" s="20"/>
      <c r="E59" s="87">
        <f t="shared" si="1"/>
        <v>3905</v>
      </c>
      <c r="F59" s="20"/>
      <c r="G59" s="16">
        <f t="shared" si="3"/>
        <v>3516.4923469387754</v>
      </c>
      <c r="H59" s="98">
        <f t="shared" si="4"/>
        <v>388.50765306122446</v>
      </c>
      <c r="J59" s="74"/>
      <c r="K59" s="21"/>
    </row>
    <row r="60" spans="1:11" x14ac:dyDescent="0.2">
      <c r="A60" s="40">
        <v>59165</v>
      </c>
      <c r="B60" s="110" t="s">
        <v>130</v>
      </c>
      <c r="C60" s="94">
        <v>42320</v>
      </c>
      <c r="D60" s="20"/>
      <c r="E60" s="87">
        <f t="shared" si="1"/>
        <v>42320</v>
      </c>
      <c r="F60" s="20"/>
      <c r="G60" s="16">
        <f t="shared" si="3"/>
        <v>38109.591836734689</v>
      </c>
      <c r="H60" s="98">
        <f t="shared" si="4"/>
        <v>4210.408163265306</v>
      </c>
      <c r="J60" s="74"/>
      <c r="K60" s="21"/>
    </row>
    <row r="61" spans="1:11" x14ac:dyDescent="0.2">
      <c r="A61" s="40">
        <v>59215</v>
      </c>
      <c r="B61" s="110" t="s">
        <v>45</v>
      </c>
      <c r="C61" s="94">
        <v>150762.32999999999</v>
      </c>
      <c r="D61" s="20"/>
      <c r="E61" s="87">
        <f t="shared" si="1"/>
        <v>150762.32999999999</v>
      </c>
      <c r="F61" s="20"/>
      <c r="G61" s="16">
        <f t="shared" si="3"/>
        <v>135763.01655612243</v>
      </c>
      <c r="H61" s="98">
        <f t="shared" si="4"/>
        <v>14999.313443877551</v>
      </c>
      <c r="J61" s="74"/>
      <c r="K61" s="21"/>
    </row>
    <row r="62" spans="1:11" x14ac:dyDescent="0.2">
      <c r="A62" s="40">
        <v>59501</v>
      </c>
      <c r="B62" s="110" t="s">
        <v>131</v>
      </c>
      <c r="C62" s="94">
        <v>4014.4</v>
      </c>
      <c r="D62" s="20"/>
      <c r="E62" s="87">
        <f t="shared" si="1"/>
        <v>4014.4</v>
      </c>
      <c r="F62" s="20"/>
      <c r="G62" s="16">
        <f t="shared" si="3"/>
        <v>3615.0081632653059</v>
      </c>
      <c r="H62" s="98">
        <f t="shared" si="4"/>
        <v>399.39183673469387</v>
      </c>
      <c r="J62" s="74"/>
      <c r="K62" s="21"/>
    </row>
    <row r="63" spans="1:11" x14ac:dyDescent="0.2">
      <c r="A63" s="40">
        <v>59511</v>
      </c>
      <c r="B63" s="110" t="s">
        <v>131</v>
      </c>
      <c r="C63" s="94">
        <v>35985.599999999999</v>
      </c>
      <c r="D63" s="20"/>
      <c r="E63" s="87">
        <f t="shared" si="1"/>
        <v>35985.599999999999</v>
      </c>
      <c r="F63" s="20"/>
      <c r="G63" s="16">
        <f t="shared" si="3"/>
        <v>32405.399999999998</v>
      </c>
      <c r="H63" s="98">
        <f t="shared" si="4"/>
        <v>3580.2</v>
      </c>
      <c r="J63" s="74"/>
      <c r="K63" s="21"/>
    </row>
    <row r="64" spans="1:11" x14ac:dyDescent="0.2">
      <c r="A64" s="40">
        <v>59599</v>
      </c>
      <c r="B64" s="111" t="s">
        <v>132</v>
      </c>
      <c r="C64" s="94">
        <v>-35985.599999999999</v>
      </c>
      <c r="D64" s="87"/>
      <c r="E64" s="87">
        <f t="shared" si="1"/>
        <v>-35985.599999999999</v>
      </c>
      <c r="F64" s="20"/>
      <c r="G64" s="16">
        <f t="shared" si="3"/>
        <v>-32405.399999999998</v>
      </c>
      <c r="H64" s="98">
        <f t="shared" si="4"/>
        <v>-3580.2</v>
      </c>
      <c r="I64" s="22"/>
      <c r="J64" s="85"/>
      <c r="K64" s="21"/>
    </row>
    <row r="65" spans="1:14" x14ac:dyDescent="0.2">
      <c r="A65" s="40">
        <v>59901</v>
      </c>
      <c r="B65" s="110" t="s">
        <v>133</v>
      </c>
      <c r="C65" s="94">
        <v>-8613</v>
      </c>
      <c r="D65" s="87"/>
      <c r="E65" s="87">
        <f t="shared" si="1"/>
        <v>-8613</v>
      </c>
      <c r="G65" s="16">
        <f t="shared" si="3"/>
        <v>-7756.0943877551017</v>
      </c>
      <c r="H65" s="98">
        <f t="shared" si="4"/>
        <v>-856.90561224489795</v>
      </c>
      <c r="I65" s="22"/>
      <c r="J65" s="85"/>
      <c r="K65" s="21"/>
    </row>
    <row r="66" spans="1:14" x14ac:dyDescent="0.2">
      <c r="A66" s="40">
        <v>59913</v>
      </c>
      <c r="B66" s="110" t="s">
        <v>134</v>
      </c>
      <c r="C66" s="94">
        <v>8613</v>
      </c>
      <c r="D66" s="87"/>
      <c r="E66" s="87">
        <f t="shared" si="1"/>
        <v>8613</v>
      </c>
      <c r="G66" s="16">
        <f t="shared" si="3"/>
        <v>7756.0943877551017</v>
      </c>
      <c r="H66" s="98">
        <f t="shared" si="4"/>
        <v>856.90561224489795</v>
      </c>
      <c r="I66" s="22"/>
      <c r="J66" s="85"/>
      <c r="K66" s="21"/>
    </row>
    <row r="67" spans="1:14" x14ac:dyDescent="0.2">
      <c r="A67" s="40">
        <v>59914</v>
      </c>
      <c r="B67" s="110" t="s">
        <v>134</v>
      </c>
      <c r="C67" s="94">
        <v>-8613</v>
      </c>
      <c r="D67" s="87"/>
      <c r="E67" s="87">
        <f t="shared" si="1"/>
        <v>-8613</v>
      </c>
      <c r="G67" s="16">
        <f t="shared" si="3"/>
        <v>-7756.0943877551017</v>
      </c>
      <c r="H67" s="98">
        <f t="shared" si="4"/>
        <v>-856.90561224489795</v>
      </c>
      <c r="I67" s="22"/>
      <c r="J67" s="85"/>
      <c r="K67" s="21"/>
    </row>
    <row r="68" spans="1:14" x14ac:dyDescent="0.2">
      <c r="A68" s="40">
        <v>59920</v>
      </c>
      <c r="B68" s="110" t="s">
        <v>135</v>
      </c>
      <c r="C68" s="94">
        <v>37651.61</v>
      </c>
      <c r="D68" s="87"/>
      <c r="E68" s="87">
        <f t="shared" si="1"/>
        <v>37651.61</v>
      </c>
      <c r="G68" s="16">
        <f t="shared" si="3"/>
        <v>33905.659005102039</v>
      </c>
      <c r="H68" s="98">
        <f t="shared" si="4"/>
        <v>3745.9509948979594</v>
      </c>
      <c r="I68" s="22"/>
      <c r="J68" s="85"/>
      <c r="K68" s="21"/>
    </row>
    <row r="69" spans="1:14" x14ac:dyDescent="0.2">
      <c r="A69" s="40">
        <v>59921</v>
      </c>
      <c r="B69" s="110" t="s">
        <v>136</v>
      </c>
      <c r="C69" s="94">
        <v>-37651.61</v>
      </c>
      <c r="D69" s="87"/>
      <c r="E69" s="87">
        <f t="shared" si="1"/>
        <v>-37651.61</v>
      </c>
      <c r="G69" s="16">
        <f t="shared" si="3"/>
        <v>-33905.659005102039</v>
      </c>
      <c r="H69" s="98">
        <f t="shared" si="4"/>
        <v>-3745.9509948979594</v>
      </c>
      <c r="I69" s="22"/>
      <c r="J69" s="85"/>
      <c r="K69" s="21"/>
    </row>
    <row r="70" spans="1:14" x14ac:dyDescent="0.2">
      <c r="A70" s="40">
        <v>59941</v>
      </c>
      <c r="B70" s="110" t="s">
        <v>137</v>
      </c>
      <c r="C70" s="94">
        <v>217419.02</v>
      </c>
      <c r="D70" s="87"/>
      <c r="E70" s="87">
        <f t="shared" si="1"/>
        <v>217419.02</v>
      </c>
      <c r="G70" s="16">
        <f t="shared" si="3"/>
        <v>195788.04607142854</v>
      </c>
      <c r="H70" s="98">
        <f t="shared" si="4"/>
        <v>21630.973928571428</v>
      </c>
      <c r="I70" s="22"/>
      <c r="J70" s="85"/>
      <c r="K70" s="21"/>
    </row>
    <row r="71" spans="1:14" x14ac:dyDescent="0.2">
      <c r="A71" s="20"/>
      <c r="B71" s="110"/>
      <c r="C71" s="94"/>
      <c r="D71" s="87"/>
      <c r="E71" s="87"/>
      <c r="G71" s="16"/>
      <c r="H71" s="22"/>
      <c r="I71" s="22"/>
      <c r="J71" s="85"/>
      <c r="K71" s="21"/>
    </row>
    <row r="72" spans="1:14" x14ac:dyDescent="0.2">
      <c r="A72" s="40">
        <v>60303</v>
      </c>
      <c r="B72" s="110" t="s">
        <v>138</v>
      </c>
      <c r="C72" s="94">
        <v>125747.63</v>
      </c>
      <c r="D72" s="87"/>
      <c r="E72" s="87">
        <f t="shared" si="1"/>
        <v>125747.63</v>
      </c>
      <c r="G72" s="16">
        <f>+E72</f>
        <v>125747.63</v>
      </c>
      <c r="H72" s="98"/>
      <c r="I72" s="22"/>
      <c r="J72" s="85"/>
      <c r="K72" s="21"/>
    </row>
    <row r="73" spans="1:14" x14ac:dyDescent="0.2">
      <c r="A73" s="40">
        <v>60320</v>
      </c>
      <c r="B73" s="110" t="s">
        <v>139</v>
      </c>
      <c r="C73" s="94">
        <v>112051.86</v>
      </c>
      <c r="D73" s="87"/>
      <c r="E73" s="87">
        <f t="shared" si="1"/>
        <v>112051.86</v>
      </c>
      <c r="G73" s="16">
        <f>+E73*G3</f>
        <v>100903.84331632653</v>
      </c>
      <c r="H73" s="98">
        <f>+G73*H3</f>
        <v>10038.902778920241</v>
      </c>
      <c r="I73" s="22"/>
      <c r="J73" s="85"/>
      <c r="K73" s="21"/>
    </row>
    <row r="74" spans="1:14" x14ac:dyDescent="0.2">
      <c r="A74" s="40">
        <v>60323</v>
      </c>
      <c r="B74" s="110" t="s">
        <v>140</v>
      </c>
      <c r="C74" s="94">
        <v>53796.52</v>
      </c>
      <c r="D74" s="87"/>
      <c r="E74" s="87">
        <f t="shared" si="1"/>
        <v>53796.52</v>
      </c>
      <c r="G74" s="16">
        <f>+E74</f>
        <v>53796.52</v>
      </c>
      <c r="H74" s="98"/>
      <c r="I74" s="22"/>
      <c r="J74" s="85"/>
      <c r="K74" s="21"/>
    </row>
    <row r="75" spans="1:14" x14ac:dyDescent="0.2">
      <c r="A75" s="40">
        <v>60324</v>
      </c>
      <c r="B75" s="110" t="s">
        <v>141</v>
      </c>
      <c r="C75" s="94">
        <v>103786.66</v>
      </c>
      <c r="D75" s="87"/>
      <c r="E75" s="87">
        <f t="shared" si="1"/>
        <v>103786.66</v>
      </c>
      <c r="G75" s="16">
        <f>+E75</f>
        <v>103786.66</v>
      </c>
      <c r="H75" s="98"/>
      <c r="I75" s="22"/>
      <c r="J75" s="85"/>
      <c r="K75" s="21"/>
    </row>
    <row r="76" spans="1:14" x14ac:dyDescent="0.2">
      <c r="A76" s="40">
        <v>60325</v>
      </c>
      <c r="B76" s="110" t="s">
        <v>142</v>
      </c>
      <c r="C76" s="94">
        <v>72943.64</v>
      </c>
      <c r="D76" s="87"/>
      <c r="E76" s="87">
        <f t="shared" si="1"/>
        <v>72943.64</v>
      </c>
      <c r="G76" s="16">
        <f>+E76</f>
        <v>72943.64</v>
      </c>
      <c r="H76" s="98"/>
      <c r="I76" s="22"/>
      <c r="J76" s="85"/>
      <c r="K76" s="21"/>
    </row>
    <row r="77" spans="1:14" x14ac:dyDescent="0.2">
      <c r="A77" s="20"/>
      <c r="B77" s="111"/>
      <c r="C77" s="94"/>
      <c r="D77" s="94"/>
      <c r="E77" s="94"/>
      <c r="F77" s="20"/>
      <c r="G77" s="22"/>
      <c r="H77" s="22"/>
      <c r="I77" s="22"/>
      <c r="J77" s="85"/>
    </row>
    <row r="78" spans="1:14" s="15" customFormat="1" ht="12" x14ac:dyDescent="0.25">
      <c r="A78" s="117">
        <v>62101</v>
      </c>
      <c r="B78" s="15" t="s">
        <v>143</v>
      </c>
      <c r="C78" s="121">
        <v>1124172.95</v>
      </c>
      <c r="D78" s="118">
        <f>135625+57045.61+88120.7+15000+4136-19987.36</f>
        <v>279939.95</v>
      </c>
      <c r="E78" s="118">
        <f t="shared" si="1"/>
        <v>844233</v>
      </c>
      <c r="G78" s="119">
        <f>+E78*$G$3+D78</f>
        <v>1040180.3811224489</v>
      </c>
      <c r="H78" s="120">
        <f>+E78*$H$3</f>
        <v>83992.568877551021</v>
      </c>
      <c r="I78" s="89"/>
      <c r="J78" s="122" t="s">
        <v>221</v>
      </c>
      <c r="K78" s="21" t="s">
        <v>228</v>
      </c>
      <c r="N78" s="28"/>
    </row>
    <row r="79" spans="1:14" x14ac:dyDescent="0.2">
      <c r="A79" s="40">
        <v>62190</v>
      </c>
      <c r="B79" s="110" t="s">
        <v>144</v>
      </c>
      <c r="C79" s="94">
        <v>78853.19</v>
      </c>
      <c r="D79" s="87"/>
      <c r="E79" s="87">
        <f t="shared" ref="E79:E147" si="5">+C79-D79</f>
        <v>78853.19</v>
      </c>
      <c r="G79" s="16">
        <f t="shared" ref="G79:G107" si="6">+E79*$G$3</f>
        <v>71008.102219387758</v>
      </c>
      <c r="H79" s="98">
        <f t="shared" ref="H79:H107" si="7">+E79*$H$3</f>
        <v>7845.0877806122453</v>
      </c>
      <c r="I79" s="22"/>
      <c r="J79" s="122"/>
      <c r="K79" s="21"/>
    </row>
    <row r="80" spans="1:14" x14ac:dyDescent="0.2">
      <c r="A80" s="40">
        <v>62201</v>
      </c>
      <c r="B80" s="110" t="s">
        <v>145</v>
      </c>
      <c r="C80" s="94">
        <v>187793.45</v>
      </c>
      <c r="D80" s="87"/>
      <c r="E80" s="87">
        <f t="shared" si="5"/>
        <v>187793.45</v>
      </c>
      <c r="G80" s="16">
        <f t="shared" si="6"/>
        <v>169109.91798469389</v>
      </c>
      <c r="H80" s="98">
        <f t="shared" si="7"/>
        <v>18683.532015306122</v>
      </c>
      <c r="I80" s="22"/>
      <c r="J80" s="122"/>
      <c r="K80" s="21"/>
    </row>
    <row r="81" spans="1:13" ht="12" x14ac:dyDescent="0.25">
      <c r="A81" s="40">
        <v>62501</v>
      </c>
      <c r="B81" s="110" t="s">
        <v>146</v>
      </c>
      <c r="C81" s="94">
        <v>5090.0200000000004</v>
      </c>
      <c r="D81" s="87"/>
      <c r="E81" s="87">
        <f t="shared" si="5"/>
        <v>5090.0200000000004</v>
      </c>
      <c r="G81" s="16">
        <f t="shared" si="6"/>
        <v>4583.6149489795916</v>
      </c>
      <c r="H81" s="98">
        <f t="shared" si="7"/>
        <v>506.40505102040822</v>
      </c>
      <c r="I81" s="22"/>
      <c r="J81" s="122"/>
      <c r="K81" s="21"/>
      <c r="L81" s="28"/>
      <c r="M81" s="28"/>
    </row>
    <row r="82" spans="1:13" x14ac:dyDescent="0.2">
      <c r="A82" s="40">
        <v>62701</v>
      </c>
      <c r="B82" s="110" t="s">
        <v>147</v>
      </c>
      <c r="C82" s="94">
        <v>94</v>
      </c>
      <c r="D82" s="87"/>
      <c r="E82" s="87">
        <f t="shared" si="5"/>
        <v>94</v>
      </c>
      <c r="G82" s="16">
        <f t="shared" si="6"/>
        <v>84.647959183673464</v>
      </c>
      <c r="H82" s="98">
        <f t="shared" si="7"/>
        <v>9.3520408163265305</v>
      </c>
      <c r="I82" s="22"/>
      <c r="J82" s="122"/>
      <c r="K82" s="21"/>
    </row>
    <row r="83" spans="1:13" x14ac:dyDescent="0.2">
      <c r="A83" s="20"/>
      <c r="B83" s="111"/>
      <c r="C83" s="94"/>
      <c r="D83" s="94"/>
      <c r="E83" s="94"/>
      <c r="F83" s="20"/>
      <c r="G83" s="22"/>
      <c r="H83" s="22"/>
      <c r="I83" s="22"/>
      <c r="J83" s="122"/>
      <c r="K83" s="21"/>
    </row>
    <row r="84" spans="1:13" x14ac:dyDescent="0.2">
      <c r="A84" s="40">
        <v>63302</v>
      </c>
      <c r="B84" s="110" t="s">
        <v>148</v>
      </c>
      <c r="C84" s="94">
        <v>919.56</v>
      </c>
      <c r="D84" s="87"/>
      <c r="E84" s="87">
        <f t="shared" si="5"/>
        <v>919.56</v>
      </c>
      <c r="G84" s="16">
        <f t="shared" si="6"/>
        <v>828.07316326530599</v>
      </c>
      <c r="H84" s="98">
        <f t="shared" si="7"/>
        <v>91.486836734693867</v>
      </c>
      <c r="I84" s="22"/>
      <c r="J84" s="122"/>
      <c r="K84" s="21"/>
    </row>
    <row r="85" spans="1:13" x14ac:dyDescent="0.2">
      <c r="A85" s="40">
        <v>63303</v>
      </c>
      <c r="B85" s="110" t="s">
        <v>149</v>
      </c>
      <c r="C85" s="94">
        <v>14816</v>
      </c>
      <c r="D85" s="87"/>
      <c r="E85" s="87">
        <f t="shared" si="5"/>
        <v>14816</v>
      </c>
      <c r="G85" s="16">
        <f t="shared" si="6"/>
        <v>13341.959183673469</v>
      </c>
      <c r="H85" s="98">
        <f t="shared" si="7"/>
        <v>1474.0408163265306</v>
      </c>
      <c r="I85" s="22"/>
      <c r="J85" s="85"/>
      <c r="K85" s="21"/>
    </row>
    <row r="86" spans="1:13" x14ac:dyDescent="0.2">
      <c r="A86" s="40">
        <v>64101</v>
      </c>
      <c r="B86" s="110" t="s">
        <v>150</v>
      </c>
      <c r="C86" s="94">
        <v>41585.46</v>
      </c>
      <c r="D86" s="87"/>
      <c r="E86" s="87">
        <f t="shared" si="5"/>
        <v>41585.46</v>
      </c>
      <c r="G86" s="16">
        <f t="shared" si="6"/>
        <v>37448.131071428572</v>
      </c>
      <c r="H86" s="98">
        <f t="shared" si="7"/>
        <v>4137.3289285714282</v>
      </c>
      <c r="I86" s="22"/>
      <c r="J86" s="85"/>
      <c r="K86" s="21"/>
    </row>
    <row r="87" spans="1:13" x14ac:dyDescent="0.2">
      <c r="A87" s="40">
        <v>64201</v>
      </c>
      <c r="B87" s="110" t="s">
        <v>151</v>
      </c>
      <c r="C87" s="94">
        <v>40820.1</v>
      </c>
      <c r="D87" s="87"/>
      <c r="E87" s="87">
        <f t="shared" si="5"/>
        <v>40820.1</v>
      </c>
      <c r="G87" s="16">
        <f t="shared" si="6"/>
        <v>36758.916581632649</v>
      </c>
      <c r="H87" s="98">
        <f t="shared" si="7"/>
        <v>4061.1834183673468</v>
      </c>
      <c r="I87" s="22"/>
      <c r="J87" s="85"/>
      <c r="K87" s="21"/>
    </row>
    <row r="88" spans="1:13" x14ac:dyDescent="0.2">
      <c r="A88" s="40">
        <v>64515</v>
      </c>
      <c r="B88" s="110" t="s">
        <v>152</v>
      </c>
      <c r="C88" s="112">
        <v>38793.800000000003</v>
      </c>
      <c r="D88" s="87"/>
      <c r="E88" s="87">
        <f t="shared" si="5"/>
        <v>38793.800000000003</v>
      </c>
      <c r="G88" s="16">
        <f t="shared" si="6"/>
        <v>34934.212755102046</v>
      </c>
      <c r="H88" s="98">
        <f t="shared" si="7"/>
        <v>3859.5872448979594</v>
      </c>
      <c r="I88" s="22"/>
      <c r="J88" s="85"/>
      <c r="K88" s="21"/>
    </row>
    <row r="89" spans="1:13" x14ac:dyDescent="0.2">
      <c r="A89" s="40">
        <v>64701</v>
      </c>
      <c r="B89" s="110" t="s">
        <v>153</v>
      </c>
      <c r="C89" s="94">
        <v>-9975</v>
      </c>
      <c r="D89" s="87"/>
      <c r="E89" s="87">
        <f t="shared" si="5"/>
        <v>-9975</v>
      </c>
      <c r="G89" s="16">
        <f t="shared" si="6"/>
        <v>-8982.5892857142862</v>
      </c>
      <c r="H89" s="98">
        <f t="shared" si="7"/>
        <v>-992.41071428571433</v>
      </c>
      <c r="I89" s="22"/>
      <c r="J89" s="85"/>
      <c r="K89" s="21"/>
    </row>
    <row r="90" spans="1:13" x14ac:dyDescent="0.2">
      <c r="A90" s="40">
        <v>64705</v>
      </c>
      <c r="B90" s="110" t="s">
        <v>154</v>
      </c>
      <c r="C90" s="94">
        <v>32168.58</v>
      </c>
      <c r="D90" s="87"/>
      <c r="E90" s="87">
        <f t="shared" si="5"/>
        <v>32168.58</v>
      </c>
      <c r="G90" s="16">
        <f t="shared" si="6"/>
        <v>28968.134540816329</v>
      </c>
      <c r="H90" s="98">
        <f t="shared" si="7"/>
        <v>3200.4454591836738</v>
      </c>
      <c r="I90" s="22"/>
      <c r="J90" s="85"/>
      <c r="K90" s="21"/>
    </row>
    <row r="91" spans="1:13" x14ac:dyDescent="0.2">
      <c r="A91" s="40">
        <v>64801</v>
      </c>
      <c r="B91" s="110" t="s">
        <v>155</v>
      </c>
      <c r="C91" s="94">
        <v>14800</v>
      </c>
      <c r="D91" s="87"/>
      <c r="E91" s="87">
        <f t="shared" si="5"/>
        <v>14800</v>
      </c>
      <c r="G91" s="16">
        <f>+E91</f>
        <v>14800</v>
      </c>
      <c r="H91" s="98"/>
      <c r="I91" s="22"/>
      <c r="J91" s="85"/>
      <c r="K91" s="21"/>
    </row>
    <row r="92" spans="1:13" x14ac:dyDescent="0.2">
      <c r="A92" s="40">
        <v>66101</v>
      </c>
      <c r="B92" s="110" t="s">
        <v>156</v>
      </c>
      <c r="C92" s="94">
        <v>13300</v>
      </c>
      <c r="D92" s="87"/>
      <c r="E92" s="87">
        <f t="shared" si="5"/>
        <v>13300</v>
      </c>
      <c r="G92" s="16">
        <f t="shared" si="6"/>
        <v>11976.785714285714</v>
      </c>
      <c r="H92" s="98">
        <f t="shared" si="7"/>
        <v>1323.2142857142858</v>
      </c>
      <c r="I92" s="22"/>
      <c r="J92" s="85"/>
      <c r="K92" s="21"/>
    </row>
    <row r="93" spans="1:13" x14ac:dyDescent="0.2">
      <c r="A93" s="40">
        <v>66305</v>
      </c>
      <c r="B93" s="110" t="s">
        <v>157</v>
      </c>
      <c r="C93" s="94">
        <v>851383.16</v>
      </c>
      <c r="D93" s="87"/>
      <c r="E93" s="87">
        <f t="shared" si="5"/>
        <v>851383.16</v>
      </c>
      <c r="G93" s="16">
        <f t="shared" si="6"/>
        <v>766679.22316326527</v>
      </c>
      <c r="H93" s="98">
        <f t="shared" si="7"/>
        <v>84703.936836734691</v>
      </c>
      <c r="I93" s="22"/>
      <c r="J93" s="85"/>
      <c r="K93" s="21"/>
    </row>
    <row r="94" spans="1:13" x14ac:dyDescent="0.2">
      <c r="A94" s="40">
        <v>66401</v>
      </c>
      <c r="B94" s="110" t="s">
        <v>158</v>
      </c>
      <c r="C94" s="94">
        <v>48940</v>
      </c>
      <c r="D94" s="87"/>
      <c r="E94" s="87">
        <f t="shared" si="5"/>
        <v>48940</v>
      </c>
      <c r="G94" s="16">
        <f t="shared" si="6"/>
        <v>44070.969387755104</v>
      </c>
      <c r="H94" s="98">
        <f t="shared" si="7"/>
        <v>4869.0306122448983</v>
      </c>
      <c r="I94" s="22"/>
      <c r="J94" s="85"/>
      <c r="K94" s="21"/>
    </row>
    <row r="95" spans="1:13" x14ac:dyDescent="0.2">
      <c r="A95" s="40">
        <v>66402</v>
      </c>
      <c r="B95" s="110" t="s">
        <v>159</v>
      </c>
      <c r="C95" s="94">
        <v>134767.6</v>
      </c>
      <c r="D95" s="87"/>
      <c r="E95" s="87">
        <f t="shared" si="5"/>
        <v>134767.6</v>
      </c>
      <c r="G95" s="16">
        <f t="shared" si="6"/>
        <v>121359.59897959184</v>
      </c>
      <c r="H95" s="98">
        <f t="shared" si="7"/>
        <v>13408.001020408165</v>
      </c>
      <c r="I95" s="22"/>
      <c r="J95" s="85"/>
      <c r="K95" s="21"/>
    </row>
    <row r="96" spans="1:13" x14ac:dyDescent="0.2">
      <c r="A96" s="40">
        <v>66412</v>
      </c>
      <c r="B96" s="110" t="s">
        <v>160</v>
      </c>
      <c r="C96" s="94">
        <v>5063</v>
      </c>
      <c r="D96" s="87"/>
      <c r="E96" s="87">
        <f t="shared" si="5"/>
        <v>5063</v>
      </c>
      <c r="G96" s="16">
        <f t="shared" si="6"/>
        <v>4559.283163265306</v>
      </c>
      <c r="H96" s="98">
        <f t="shared" si="7"/>
        <v>503.71683673469386</v>
      </c>
      <c r="I96" s="22"/>
      <c r="J96" s="85"/>
      <c r="K96" s="21"/>
    </row>
    <row r="97" spans="1:11" x14ac:dyDescent="0.2">
      <c r="A97" s="40">
        <v>66416</v>
      </c>
      <c r="B97" s="110" t="s">
        <v>161</v>
      </c>
      <c r="C97" s="94">
        <v>2470.6</v>
      </c>
      <c r="D97" s="87"/>
      <c r="E97" s="87">
        <f t="shared" si="5"/>
        <v>2470.6</v>
      </c>
      <c r="G97" s="16">
        <f t="shared" si="6"/>
        <v>2224.8005102040815</v>
      </c>
      <c r="H97" s="98">
        <f t="shared" si="7"/>
        <v>245.79948979591836</v>
      </c>
      <c r="I97" s="22"/>
      <c r="J97" s="85"/>
      <c r="K97" s="21"/>
    </row>
    <row r="98" spans="1:11" x14ac:dyDescent="0.2">
      <c r="A98" s="40">
        <v>66465</v>
      </c>
      <c r="B98" s="110" t="s">
        <v>162</v>
      </c>
      <c r="C98" s="94">
        <v>96214.65</v>
      </c>
      <c r="D98" s="87"/>
      <c r="E98" s="87">
        <f t="shared" si="5"/>
        <v>96214.65</v>
      </c>
      <c r="G98" s="16">
        <f t="shared" si="6"/>
        <v>86642.274107142846</v>
      </c>
      <c r="H98" s="98">
        <f t="shared" si="7"/>
        <v>9572.3758928571424</v>
      </c>
      <c r="I98" s="22"/>
      <c r="J98" s="85"/>
      <c r="K98" s="21"/>
    </row>
    <row r="99" spans="1:11" x14ac:dyDescent="0.2">
      <c r="A99" s="40">
        <v>66601</v>
      </c>
      <c r="B99" s="110" t="s">
        <v>163</v>
      </c>
      <c r="C99" s="94">
        <v>2398000</v>
      </c>
      <c r="D99" s="87"/>
      <c r="E99" s="87">
        <f t="shared" si="5"/>
        <v>2398000</v>
      </c>
      <c r="G99" s="16">
        <f t="shared" si="6"/>
        <v>2159423.4693877553</v>
      </c>
      <c r="H99" s="98">
        <f t="shared" si="7"/>
        <v>238576.53061224491</v>
      </c>
      <c r="I99" s="22"/>
      <c r="J99" s="85"/>
      <c r="K99" s="21"/>
    </row>
    <row r="100" spans="1:11" x14ac:dyDescent="0.2">
      <c r="A100" s="40">
        <v>66611</v>
      </c>
      <c r="B100" s="110" t="s">
        <v>164</v>
      </c>
      <c r="C100" s="94">
        <v>323497.02</v>
      </c>
      <c r="D100" s="87"/>
      <c r="E100" s="87">
        <f t="shared" si="5"/>
        <v>323497.02</v>
      </c>
      <c r="G100" s="16">
        <f t="shared" si="6"/>
        <v>291312.36749999999</v>
      </c>
      <c r="H100" s="98">
        <f t="shared" si="7"/>
        <v>32184.6525</v>
      </c>
      <c r="I100" s="22"/>
      <c r="J100" s="85"/>
      <c r="K100" s="21" t="s">
        <v>229</v>
      </c>
    </row>
    <row r="101" spans="1:11" x14ac:dyDescent="0.2">
      <c r="A101" s="40">
        <v>66631</v>
      </c>
      <c r="B101" s="110" t="s">
        <v>165</v>
      </c>
      <c r="C101" s="94">
        <v>935000.01</v>
      </c>
      <c r="D101" s="87"/>
      <c r="E101" s="87">
        <f t="shared" si="5"/>
        <v>935000.01</v>
      </c>
      <c r="G101" s="16">
        <f t="shared" si="6"/>
        <v>841977.04982142861</v>
      </c>
      <c r="H101" s="98">
        <f t="shared" si="7"/>
        <v>93022.960178571433</v>
      </c>
      <c r="I101" s="22"/>
      <c r="J101" s="85"/>
      <c r="K101" s="21"/>
    </row>
    <row r="102" spans="1:11" x14ac:dyDescent="0.2">
      <c r="A102" s="40">
        <v>66701</v>
      </c>
      <c r="B102" s="110" t="s">
        <v>47</v>
      </c>
      <c r="C102" s="94">
        <v>60000</v>
      </c>
      <c r="D102" s="87"/>
      <c r="E102" s="87">
        <f t="shared" si="5"/>
        <v>60000</v>
      </c>
      <c r="G102" s="16">
        <f t="shared" si="6"/>
        <v>54030.612244897959</v>
      </c>
      <c r="H102" s="98">
        <f t="shared" si="7"/>
        <v>5969.3877551020405</v>
      </c>
      <c r="I102" s="22"/>
      <c r="J102" s="85"/>
      <c r="K102" s="21"/>
    </row>
    <row r="103" spans="1:11" x14ac:dyDescent="0.2">
      <c r="A103" s="40">
        <v>66703</v>
      </c>
      <c r="B103" s="110" t="s">
        <v>48</v>
      </c>
      <c r="C103" s="94">
        <v>-4875</v>
      </c>
      <c r="D103" s="87"/>
      <c r="E103" s="87">
        <f t="shared" si="5"/>
        <v>-4875</v>
      </c>
      <c r="G103" s="16">
        <f t="shared" si="6"/>
        <v>-4389.9872448979595</v>
      </c>
      <c r="H103" s="98">
        <f t="shared" si="7"/>
        <v>-485.01275510204084</v>
      </c>
      <c r="I103" s="22"/>
      <c r="J103" s="74"/>
      <c r="K103" s="21"/>
    </row>
    <row r="104" spans="1:11" x14ac:dyDescent="0.2">
      <c r="A104" s="40">
        <v>66705</v>
      </c>
      <c r="B104" s="110" t="s">
        <v>166</v>
      </c>
      <c r="C104" s="94">
        <v>1038772</v>
      </c>
      <c r="D104" s="87"/>
      <c r="E104" s="87">
        <f t="shared" si="5"/>
        <v>1038772</v>
      </c>
      <c r="G104" s="16">
        <f t="shared" si="6"/>
        <v>935424.78571428568</v>
      </c>
      <c r="H104" s="98">
        <f t="shared" si="7"/>
        <v>103347.21428571429</v>
      </c>
      <c r="I104" s="22"/>
      <c r="J104" s="85"/>
      <c r="K104" s="21"/>
    </row>
    <row r="105" spans="1:11" x14ac:dyDescent="0.2">
      <c r="A105" s="40">
        <v>66910</v>
      </c>
      <c r="B105" s="110" t="s">
        <v>167</v>
      </c>
      <c r="C105" s="94">
        <v>294077.24</v>
      </c>
      <c r="D105" s="87"/>
      <c r="E105" s="87">
        <f t="shared" si="5"/>
        <v>294077.24</v>
      </c>
      <c r="G105" s="16">
        <f t="shared" si="6"/>
        <v>264819.55540816323</v>
      </c>
      <c r="H105" s="98">
        <f t="shared" si="7"/>
        <v>29257.684591836733</v>
      </c>
      <c r="I105" s="22"/>
      <c r="J105" s="74"/>
      <c r="K105" s="135"/>
    </row>
    <row r="106" spans="1:11" x14ac:dyDescent="0.2">
      <c r="A106" s="40">
        <v>66911</v>
      </c>
      <c r="B106" s="110" t="s">
        <v>168</v>
      </c>
      <c r="C106" s="94">
        <v>261487.9</v>
      </c>
      <c r="D106" s="87"/>
      <c r="E106" s="87">
        <f t="shared" si="5"/>
        <v>261487.9</v>
      </c>
      <c r="G106" s="16">
        <f t="shared" si="6"/>
        <v>235472.52219387755</v>
      </c>
      <c r="H106" s="98">
        <f t="shared" si="7"/>
        <v>26015.377806122448</v>
      </c>
      <c r="I106" s="22"/>
      <c r="J106" s="74"/>
      <c r="K106" s="21"/>
    </row>
    <row r="107" spans="1:11" x14ac:dyDescent="0.2">
      <c r="A107" s="40">
        <v>66914</v>
      </c>
      <c r="B107" s="110" t="s">
        <v>169</v>
      </c>
      <c r="C107" s="94">
        <v>240425</v>
      </c>
      <c r="D107" s="87"/>
      <c r="E107" s="87">
        <f t="shared" si="5"/>
        <v>240425</v>
      </c>
      <c r="G107" s="16">
        <f t="shared" si="6"/>
        <v>216505.16581632654</v>
      </c>
      <c r="H107" s="98">
        <f t="shared" si="7"/>
        <v>23919.834183673469</v>
      </c>
      <c r="I107" s="22"/>
      <c r="J107" s="74"/>
      <c r="K107" s="21"/>
    </row>
    <row r="108" spans="1:11" x14ac:dyDescent="0.2">
      <c r="A108" s="40">
        <v>66915</v>
      </c>
      <c r="B108" s="111" t="s">
        <v>170</v>
      </c>
      <c r="C108" s="94">
        <v>1645297.59</v>
      </c>
      <c r="D108" s="87"/>
      <c r="E108" s="87">
        <f t="shared" si="5"/>
        <v>1645297.59</v>
      </c>
      <c r="F108" s="20"/>
      <c r="G108" s="16">
        <f t="shared" ref="G108:G152" si="8">+E108*$G$3</f>
        <v>1481607.2685459184</v>
      </c>
      <c r="H108" s="98">
        <f t="shared" ref="H108:H152" si="9">+E108*$H$3</f>
        <v>163690.32145408163</v>
      </c>
      <c r="I108" s="22"/>
      <c r="J108" s="74"/>
      <c r="K108" s="21"/>
    </row>
    <row r="109" spans="1:11" x14ac:dyDescent="0.2">
      <c r="A109" s="40">
        <v>67101</v>
      </c>
      <c r="B109" s="110" t="s">
        <v>171</v>
      </c>
      <c r="C109" s="94">
        <v>101028.04</v>
      </c>
      <c r="D109" s="87"/>
      <c r="E109" s="87">
        <f t="shared" si="5"/>
        <v>101028.04</v>
      </c>
      <c r="G109" s="16">
        <f t="shared" si="8"/>
        <v>90976.780918367338</v>
      </c>
      <c r="H109" s="98">
        <f t="shared" si="9"/>
        <v>10051.259081632652</v>
      </c>
      <c r="I109" s="22"/>
      <c r="J109" s="74"/>
      <c r="K109" s="21"/>
    </row>
    <row r="110" spans="1:11" x14ac:dyDescent="0.2">
      <c r="A110" s="40">
        <v>67201</v>
      </c>
      <c r="B110" s="110" t="s">
        <v>172</v>
      </c>
      <c r="C110" s="94">
        <v>65351.15</v>
      </c>
      <c r="D110" s="87"/>
      <c r="E110" s="87">
        <f t="shared" si="5"/>
        <v>65351.15</v>
      </c>
      <c r="G110" s="16">
        <f t="shared" si="8"/>
        <v>58849.377423469385</v>
      </c>
      <c r="H110" s="98">
        <f t="shared" si="9"/>
        <v>6501.7725765306122</v>
      </c>
      <c r="I110" s="22"/>
      <c r="J110" s="74"/>
      <c r="K110" s="21"/>
    </row>
    <row r="111" spans="1:11" x14ac:dyDescent="0.2">
      <c r="A111" s="40">
        <v>67203</v>
      </c>
      <c r="B111" s="110" t="s">
        <v>173</v>
      </c>
      <c r="C111" s="94">
        <v>1941</v>
      </c>
      <c r="D111" s="87"/>
      <c r="E111" s="87">
        <f t="shared" si="5"/>
        <v>1941</v>
      </c>
      <c r="G111" s="16">
        <f t="shared" si="8"/>
        <v>1747.8903061224489</v>
      </c>
      <c r="H111" s="98">
        <f t="shared" si="9"/>
        <v>193.10969387755102</v>
      </c>
      <c r="I111" s="22"/>
      <c r="J111" s="74"/>
      <c r="K111" s="21"/>
    </row>
    <row r="112" spans="1:11" x14ac:dyDescent="0.2">
      <c r="A112" s="40">
        <v>67205</v>
      </c>
      <c r="B112" s="110" t="s">
        <v>174</v>
      </c>
      <c r="C112" s="94">
        <v>7642.65</v>
      </c>
      <c r="D112" s="87"/>
      <c r="E112" s="87">
        <f t="shared" si="5"/>
        <v>7642.65</v>
      </c>
      <c r="G112" s="16">
        <f t="shared" si="8"/>
        <v>6882.2843112244891</v>
      </c>
      <c r="H112" s="98">
        <f t="shared" si="9"/>
        <v>760.36568877551019</v>
      </c>
      <c r="I112" s="22"/>
      <c r="J112" s="74"/>
      <c r="K112" s="21"/>
    </row>
    <row r="113" spans="1:14" x14ac:dyDescent="0.2">
      <c r="A113" s="40">
        <v>67206</v>
      </c>
      <c r="B113" s="110" t="s">
        <v>175</v>
      </c>
      <c r="C113" s="94">
        <v>5166.67</v>
      </c>
      <c r="D113" s="87"/>
      <c r="E113" s="87">
        <f t="shared" si="5"/>
        <v>5166.67</v>
      </c>
      <c r="G113" s="16">
        <f t="shared" si="8"/>
        <v>4652.6390561224489</v>
      </c>
      <c r="H113" s="98">
        <f t="shared" si="9"/>
        <v>514.03094387755107</v>
      </c>
      <c r="I113" s="22"/>
      <c r="J113" s="74"/>
      <c r="K113" s="21"/>
    </row>
    <row r="114" spans="1:14" x14ac:dyDescent="0.2">
      <c r="A114" s="40">
        <v>67911</v>
      </c>
      <c r="B114" s="110" t="s">
        <v>177</v>
      </c>
      <c r="C114" s="94">
        <v>21580</v>
      </c>
      <c r="D114" s="87"/>
      <c r="E114" s="87">
        <f t="shared" si="5"/>
        <v>21580</v>
      </c>
      <c r="G114" s="16">
        <f>+E114*$G$3</f>
        <v>19433.010204081631</v>
      </c>
      <c r="H114" s="98">
        <f>+E114*$H$3</f>
        <v>2146.9897959183672</v>
      </c>
      <c r="I114" s="22"/>
      <c r="J114" s="85"/>
      <c r="K114" s="21"/>
    </row>
    <row r="115" spans="1:14" x14ac:dyDescent="0.2">
      <c r="A115" s="40">
        <v>67912</v>
      </c>
      <c r="B115" s="110" t="s">
        <v>176</v>
      </c>
      <c r="C115" s="94">
        <v>19318</v>
      </c>
      <c r="D115" s="87"/>
      <c r="E115" s="87">
        <f t="shared" si="5"/>
        <v>19318</v>
      </c>
      <c r="G115" s="16">
        <f>+E115*$G$3</f>
        <v>17396.056122448979</v>
      </c>
      <c r="H115" s="98">
        <f>+E115*$H$3</f>
        <v>1921.9438775510205</v>
      </c>
      <c r="I115" s="22"/>
      <c r="J115" s="85"/>
      <c r="K115" s="21"/>
    </row>
    <row r="116" spans="1:14" x14ac:dyDescent="0.2">
      <c r="A116" s="40">
        <v>67999</v>
      </c>
      <c r="B116" s="110" t="s">
        <v>178</v>
      </c>
      <c r="C116" s="94">
        <v>35025.9</v>
      </c>
      <c r="D116" s="87"/>
      <c r="E116" s="87">
        <f>+C116-D116</f>
        <v>35025.9</v>
      </c>
      <c r="G116" s="16">
        <f t="shared" si="8"/>
        <v>31541.180357142857</v>
      </c>
      <c r="H116" s="98">
        <f t="shared" si="9"/>
        <v>3484.7196428571428</v>
      </c>
      <c r="I116" s="22"/>
      <c r="J116" s="85"/>
      <c r="K116" s="21"/>
    </row>
    <row r="117" spans="1:14" x14ac:dyDescent="0.2">
      <c r="A117" s="40">
        <v>68103</v>
      </c>
      <c r="B117" s="110" t="s">
        <v>179</v>
      </c>
      <c r="C117" s="94">
        <v>18457.7</v>
      </c>
      <c r="D117" s="87"/>
      <c r="E117" s="87">
        <f>+C117-D117</f>
        <v>18457.7</v>
      </c>
      <c r="G117" s="16">
        <f t="shared" si="8"/>
        <v>16621.347193877551</v>
      </c>
      <c r="H117" s="98">
        <f t="shared" si="9"/>
        <v>1836.352806122449</v>
      </c>
      <c r="I117" s="22"/>
      <c r="J117" s="85"/>
      <c r="K117" s="21"/>
    </row>
    <row r="118" spans="1:14" x14ac:dyDescent="0.2">
      <c r="A118" s="40">
        <v>68104</v>
      </c>
      <c r="B118" s="110" t="s">
        <v>180</v>
      </c>
      <c r="C118" s="94">
        <v>5445.3</v>
      </c>
      <c r="D118" s="87"/>
      <c r="E118" s="87">
        <f t="shared" si="5"/>
        <v>5445.3</v>
      </c>
      <c r="G118" s="16">
        <f t="shared" si="8"/>
        <v>4903.5482142857145</v>
      </c>
      <c r="H118" s="98">
        <f t="shared" si="9"/>
        <v>541.75178571428569</v>
      </c>
      <c r="I118" s="22"/>
      <c r="J118" s="85"/>
      <c r="K118" s="21"/>
    </row>
    <row r="119" spans="1:14" x14ac:dyDescent="0.2">
      <c r="A119" s="40">
        <v>68109</v>
      </c>
      <c r="B119" s="110" t="s">
        <v>181</v>
      </c>
      <c r="C119" s="94">
        <v>142204.48000000001</v>
      </c>
      <c r="D119" s="87"/>
      <c r="E119" s="87">
        <f t="shared" si="5"/>
        <v>142204.48000000001</v>
      </c>
      <c r="G119" s="16">
        <f t="shared" si="8"/>
        <v>128056.58530612245</v>
      </c>
      <c r="H119" s="98">
        <f t="shared" si="9"/>
        <v>14147.894693877552</v>
      </c>
      <c r="I119" s="22"/>
      <c r="J119" s="85"/>
      <c r="K119" s="21"/>
    </row>
    <row r="120" spans="1:14" x14ac:dyDescent="0.2">
      <c r="A120" s="40">
        <v>68111</v>
      </c>
      <c r="B120" s="110" t="s">
        <v>182</v>
      </c>
      <c r="C120" s="94">
        <v>-15000</v>
      </c>
      <c r="D120" s="87"/>
      <c r="E120" s="87">
        <f t="shared" si="5"/>
        <v>-15000</v>
      </c>
      <c r="G120" s="16">
        <f t="shared" si="8"/>
        <v>-13507.65306122449</v>
      </c>
      <c r="H120" s="98">
        <f t="shared" si="9"/>
        <v>-1492.3469387755101</v>
      </c>
      <c r="I120" s="22"/>
      <c r="J120" s="85"/>
      <c r="K120" s="21"/>
    </row>
    <row r="121" spans="1:14" ht="13.2" x14ac:dyDescent="0.25">
      <c r="A121" s="91">
        <v>68126</v>
      </c>
      <c r="B121" s="110" t="s">
        <v>183</v>
      </c>
      <c r="C121" s="87">
        <v>103665.94</v>
      </c>
      <c r="D121" s="87"/>
      <c r="E121" s="87">
        <f t="shared" si="5"/>
        <v>103665.94</v>
      </c>
      <c r="G121" s="16">
        <f t="shared" si="8"/>
        <v>93352.236785714282</v>
      </c>
      <c r="H121" s="98">
        <f t="shared" si="9"/>
        <v>10313.703214285715</v>
      </c>
      <c r="I121" s="22"/>
      <c r="J121" s="85"/>
      <c r="K121" s="21"/>
    </row>
    <row r="122" spans="1:14" x14ac:dyDescent="0.2">
      <c r="A122" s="40">
        <v>68127</v>
      </c>
      <c r="B122" s="110" t="s">
        <v>184</v>
      </c>
      <c r="C122" s="87">
        <v>-103665.94</v>
      </c>
      <c r="D122" s="87"/>
      <c r="E122" s="87">
        <f t="shared" si="5"/>
        <v>-103665.94</v>
      </c>
      <c r="G122" s="16">
        <f t="shared" si="8"/>
        <v>-93352.236785714282</v>
      </c>
      <c r="H122" s="98">
        <f t="shared" si="9"/>
        <v>-10313.703214285715</v>
      </c>
      <c r="I122" s="22"/>
      <c r="J122" s="85"/>
      <c r="K122" s="21"/>
    </row>
    <row r="123" spans="1:14" s="15" customFormat="1" ht="12" x14ac:dyDescent="0.25">
      <c r="A123" s="117">
        <v>68501</v>
      </c>
      <c r="B123" s="15" t="s">
        <v>49</v>
      </c>
      <c r="C123" s="118">
        <v>122345.07</v>
      </c>
      <c r="D123" s="118">
        <f>+C123*0.5</f>
        <v>61172.535000000003</v>
      </c>
      <c r="E123" s="118">
        <f t="shared" si="5"/>
        <v>61172.535000000003</v>
      </c>
      <c r="G123" s="119">
        <f>+E123*G3+D123</f>
        <v>116259.02697704082</v>
      </c>
      <c r="H123" s="98">
        <f t="shared" si="9"/>
        <v>6086.0430229591839</v>
      </c>
      <c r="I123" s="89"/>
      <c r="J123" s="122" t="s">
        <v>219</v>
      </c>
      <c r="K123" s="21"/>
      <c r="L123" s="28"/>
      <c r="M123" s="28"/>
      <c r="N123" s="28"/>
    </row>
    <row r="124" spans="1:14" x14ac:dyDescent="0.2">
      <c r="A124" s="40">
        <v>68505</v>
      </c>
      <c r="B124" s="110" t="s">
        <v>185</v>
      </c>
      <c r="C124" s="87">
        <v>1142.28</v>
      </c>
      <c r="D124" s="87"/>
      <c r="E124" s="87">
        <f t="shared" si="5"/>
        <v>1142.28</v>
      </c>
      <c r="G124" s="16">
        <f t="shared" si="8"/>
        <v>1028.6347959183672</v>
      </c>
      <c r="H124" s="98">
        <f t="shared" si="9"/>
        <v>113.64520408163266</v>
      </c>
      <c r="I124" s="22"/>
      <c r="J124" s="85"/>
      <c r="K124" s="21"/>
    </row>
    <row r="125" spans="1:14" x14ac:dyDescent="0.2">
      <c r="A125" s="40">
        <v>69113</v>
      </c>
      <c r="B125" s="110" t="s">
        <v>186</v>
      </c>
      <c r="C125" s="87">
        <v>28687.200000000001</v>
      </c>
      <c r="D125" s="87"/>
      <c r="E125" s="87">
        <f t="shared" si="5"/>
        <v>28687.200000000001</v>
      </c>
      <c r="G125" s="16">
        <f t="shared" si="8"/>
        <v>25833.116326530613</v>
      </c>
      <c r="H125" s="98">
        <f t="shared" si="9"/>
        <v>2854.083673469388</v>
      </c>
      <c r="I125" s="22"/>
      <c r="J125" s="85"/>
      <c r="K125" s="21"/>
    </row>
    <row r="126" spans="1:14" x14ac:dyDescent="0.2">
      <c r="A126" s="40">
        <v>69131</v>
      </c>
      <c r="B126" s="110" t="s">
        <v>187</v>
      </c>
      <c r="C126" s="87">
        <v>31030.44</v>
      </c>
      <c r="D126" s="87"/>
      <c r="E126" s="87">
        <f t="shared" si="5"/>
        <v>31030.44</v>
      </c>
      <c r="G126" s="16">
        <f>+E126</f>
        <v>31030.44</v>
      </c>
      <c r="H126" s="98"/>
      <c r="I126" s="22"/>
      <c r="J126" s="85"/>
      <c r="K126" s="21"/>
    </row>
    <row r="127" spans="1:14" x14ac:dyDescent="0.2">
      <c r="A127" s="40">
        <v>69132</v>
      </c>
      <c r="B127" s="110" t="s">
        <v>188</v>
      </c>
      <c r="C127" s="87">
        <v>22472.05</v>
      </c>
      <c r="D127" s="87"/>
      <c r="E127" s="87">
        <f t="shared" si="5"/>
        <v>22472.05</v>
      </c>
      <c r="G127" s="16">
        <f>+E127</f>
        <v>22472.05</v>
      </c>
      <c r="H127" s="98"/>
      <c r="I127" s="22"/>
      <c r="J127" s="85"/>
      <c r="K127" s="21"/>
    </row>
    <row r="128" spans="1:14" x14ac:dyDescent="0.2">
      <c r="A128" s="40">
        <v>69199</v>
      </c>
      <c r="B128" s="110" t="s">
        <v>189</v>
      </c>
      <c r="C128" s="87">
        <v>112590.5</v>
      </c>
      <c r="D128" s="87"/>
      <c r="E128" s="87">
        <f t="shared" si="5"/>
        <v>112590.5</v>
      </c>
      <c r="G128" s="16">
        <f>+E128</f>
        <v>112590.5</v>
      </c>
      <c r="H128" s="98"/>
      <c r="I128" s="22"/>
      <c r="J128" s="85"/>
      <c r="K128" s="21"/>
    </row>
    <row r="129" spans="1:11" x14ac:dyDescent="0.2">
      <c r="A129" s="40">
        <v>70101</v>
      </c>
      <c r="B129" s="110" t="s">
        <v>190</v>
      </c>
      <c r="C129" s="87">
        <v>9930</v>
      </c>
      <c r="D129" s="87"/>
      <c r="E129" s="87">
        <f t="shared" si="5"/>
        <v>9930</v>
      </c>
      <c r="G129" s="16">
        <f t="shared" si="8"/>
        <v>8942.0663265306121</v>
      </c>
      <c r="H129" s="98">
        <f t="shared" si="9"/>
        <v>987.93367346938771</v>
      </c>
      <c r="I129" s="22"/>
      <c r="J129" s="85"/>
      <c r="K129" s="21"/>
    </row>
    <row r="130" spans="1:11" x14ac:dyDescent="0.2">
      <c r="A130" s="40">
        <v>70102</v>
      </c>
      <c r="B130" s="110" t="s">
        <v>190</v>
      </c>
      <c r="C130" s="87">
        <v>111671</v>
      </c>
      <c r="D130" s="87"/>
      <c r="E130" s="87">
        <f t="shared" si="5"/>
        <v>111671</v>
      </c>
      <c r="G130" s="16">
        <f t="shared" si="8"/>
        <v>100560.875</v>
      </c>
      <c r="H130" s="98">
        <f t="shared" si="9"/>
        <v>11110.125</v>
      </c>
      <c r="I130" s="22"/>
      <c r="J130" s="85"/>
      <c r="K130" s="21"/>
    </row>
    <row r="131" spans="1:11" x14ac:dyDescent="0.2">
      <c r="A131" s="40">
        <v>70103</v>
      </c>
      <c r="B131" s="110" t="s">
        <v>191</v>
      </c>
      <c r="C131" s="87">
        <v>549996.67000000004</v>
      </c>
      <c r="D131" s="87"/>
      <c r="E131" s="87">
        <f t="shared" si="5"/>
        <v>549996.67000000004</v>
      </c>
      <c r="G131" s="16">
        <f t="shared" si="8"/>
        <v>495277.61354591837</v>
      </c>
      <c r="H131" s="98">
        <f t="shared" si="9"/>
        <v>54719.056454081634</v>
      </c>
      <c r="I131" s="22"/>
      <c r="J131" s="85"/>
      <c r="K131" s="21"/>
    </row>
    <row r="132" spans="1:11" x14ac:dyDescent="0.2">
      <c r="A132" s="40">
        <v>70121</v>
      </c>
      <c r="B132" s="110" t="s">
        <v>192</v>
      </c>
      <c r="C132" s="87">
        <v>70205.98</v>
      </c>
      <c r="D132" s="87"/>
      <c r="E132" s="87">
        <f t="shared" si="5"/>
        <v>70205.98</v>
      </c>
      <c r="G132" s="16">
        <f t="shared" si="8"/>
        <v>63221.201377551013</v>
      </c>
      <c r="H132" s="98">
        <f t="shared" si="9"/>
        <v>6984.7786224489791</v>
      </c>
      <c r="I132" s="22"/>
      <c r="J132" s="85"/>
      <c r="K132" s="21"/>
    </row>
    <row r="133" spans="1:11" x14ac:dyDescent="0.2">
      <c r="A133" s="40">
        <v>70131</v>
      </c>
      <c r="B133" s="110" t="s">
        <v>193</v>
      </c>
      <c r="C133" s="87">
        <v>22739.26</v>
      </c>
      <c r="D133" s="87"/>
      <c r="E133" s="87">
        <f t="shared" si="5"/>
        <v>22739.26</v>
      </c>
      <c r="G133" s="16">
        <f t="shared" si="8"/>
        <v>20476.935663265303</v>
      </c>
      <c r="H133" s="98">
        <f t="shared" si="9"/>
        <v>2262.3243367346936</v>
      </c>
      <c r="I133" s="22"/>
      <c r="J133" s="85"/>
      <c r="K133" s="21"/>
    </row>
    <row r="134" spans="1:11" x14ac:dyDescent="0.2">
      <c r="A134" s="40">
        <v>70201</v>
      </c>
      <c r="B134" s="110" t="s">
        <v>194</v>
      </c>
      <c r="C134" s="87">
        <v>51482.43</v>
      </c>
      <c r="D134" s="87"/>
      <c r="E134" s="87">
        <f t="shared" si="5"/>
        <v>51482.43</v>
      </c>
      <c r="G134" s="16">
        <f t="shared" si="8"/>
        <v>46360.453545918368</v>
      </c>
      <c r="H134" s="98">
        <f t="shared" si="9"/>
        <v>5121.9764540816323</v>
      </c>
      <c r="I134" s="22"/>
      <c r="J134" s="85"/>
      <c r="K134" s="21"/>
    </row>
    <row r="135" spans="1:11" x14ac:dyDescent="0.2">
      <c r="A135" s="40">
        <v>70203</v>
      </c>
      <c r="B135" s="110" t="s">
        <v>195</v>
      </c>
      <c r="C135" s="87">
        <v>173145.44</v>
      </c>
      <c r="D135" s="87"/>
      <c r="E135" s="87">
        <f t="shared" si="5"/>
        <v>173145.44</v>
      </c>
      <c r="G135" s="16">
        <f t="shared" si="8"/>
        <v>155919.23551020407</v>
      </c>
      <c r="H135" s="98">
        <f t="shared" si="9"/>
        <v>17226.204489795917</v>
      </c>
      <c r="I135" s="22"/>
      <c r="J135" s="85"/>
      <c r="K135" s="21"/>
    </row>
    <row r="136" spans="1:11" x14ac:dyDescent="0.2">
      <c r="A136" s="40">
        <v>70301</v>
      </c>
      <c r="B136" s="110" t="s">
        <v>196</v>
      </c>
      <c r="C136" s="87">
        <v>15052.99</v>
      </c>
      <c r="D136" s="87"/>
      <c r="E136" s="87">
        <f t="shared" si="5"/>
        <v>15052.99</v>
      </c>
      <c r="G136" s="16">
        <f t="shared" si="8"/>
        <v>13555.371096938776</v>
      </c>
      <c r="H136" s="98">
        <f t="shared" si="9"/>
        <v>1497.6189030612245</v>
      </c>
      <c r="I136" s="22"/>
      <c r="J136" s="85"/>
      <c r="K136" s="21"/>
    </row>
    <row r="137" spans="1:11" x14ac:dyDescent="0.2">
      <c r="A137" s="40">
        <v>73101</v>
      </c>
      <c r="B137" s="110" t="s">
        <v>197</v>
      </c>
      <c r="C137" s="87">
        <v>58211.56</v>
      </c>
      <c r="D137" s="87"/>
      <c r="E137" s="87">
        <f t="shared" si="5"/>
        <v>58211.56</v>
      </c>
      <c r="G137" s="16">
        <f>+E137</f>
        <v>58211.56</v>
      </c>
      <c r="H137" s="98"/>
      <c r="I137" s="22"/>
      <c r="J137" s="85"/>
      <c r="K137" s="21"/>
    </row>
    <row r="138" spans="1:11" x14ac:dyDescent="0.2">
      <c r="A138" s="40">
        <v>73111</v>
      </c>
      <c r="B138" s="110" t="s">
        <v>198</v>
      </c>
      <c r="C138" s="87">
        <v>960</v>
      </c>
      <c r="D138" s="87"/>
      <c r="E138" s="87">
        <f t="shared" si="5"/>
        <v>960</v>
      </c>
      <c r="G138" s="16">
        <f>+E138</f>
        <v>960</v>
      </c>
      <c r="H138" s="98"/>
      <c r="I138" s="22"/>
      <c r="J138" s="85"/>
      <c r="K138" s="21"/>
    </row>
    <row r="139" spans="1:11" x14ac:dyDescent="0.2">
      <c r="A139" s="40">
        <v>73112</v>
      </c>
      <c r="B139" s="110" t="s">
        <v>199</v>
      </c>
      <c r="C139" s="87">
        <v>43474</v>
      </c>
      <c r="D139" s="87"/>
      <c r="E139" s="87">
        <f t="shared" si="5"/>
        <v>43474</v>
      </c>
      <c r="G139" s="16">
        <f>+E139</f>
        <v>43474</v>
      </c>
      <c r="H139" s="98"/>
      <c r="I139" s="22"/>
      <c r="J139" s="85"/>
      <c r="K139" s="21"/>
    </row>
    <row r="140" spans="1:11" x14ac:dyDescent="0.2">
      <c r="A140" s="40">
        <v>73180</v>
      </c>
      <c r="B140" s="110" t="s">
        <v>200</v>
      </c>
      <c r="C140" s="87">
        <v>960000</v>
      </c>
      <c r="D140" s="87"/>
      <c r="E140" s="87">
        <f t="shared" si="5"/>
        <v>960000</v>
      </c>
      <c r="G140" s="16">
        <f>+E140</f>
        <v>960000</v>
      </c>
      <c r="H140" s="98"/>
      <c r="I140" s="22"/>
      <c r="J140" s="85"/>
      <c r="K140" s="21"/>
    </row>
    <row r="141" spans="1:11" x14ac:dyDescent="0.2">
      <c r="A141" s="40">
        <v>73201</v>
      </c>
      <c r="B141" s="110" t="s">
        <v>201</v>
      </c>
      <c r="C141" s="87">
        <v>211723.6</v>
      </c>
      <c r="D141" s="87"/>
      <c r="E141" s="87">
        <f t="shared" si="5"/>
        <v>211723.6</v>
      </c>
      <c r="G141" s="16">
        <f>+E141</f>
        <v>211723.6</v>
      </c>
      <c r="H141" s="98"/>
      <c r="I141" s="22"/>
      <c r="J141" s="85"/>
      <c r="K141" s="21"/>
    </row>
    <row r="142" spans="1:11" x14ac:dyDescent="0.2">
      <c r="A142" s="40">
        <v>73205</v>
      </c>
      <c r="B142" s="110" t="s">
        <v>202</v>
      </c>
      <c r="C142" s="87">
        <v>1167.2</v>
      </c>
      <c r="D142" s="87"/>
      <c r="E142" s="87">
        <f t="shared" si="5"/>
        <v>1167.2</v>
      </c>
      <c r="G142" s="16">
        <f t="shared" ref="G142:G147" si="10">+E142</f>
        <v>1167.2</v>
      </c>
      <c r="H142" s="98"/>
      <c r="I142" s="22"/>
      <c r="J142" s="85"/>
      <c r="K142" s="21"/>
    </row>
    <row r="143" spans="1:11" x14ac:dyDescent="0.2">
      <c r="A143" s="40">
        <v>73219</v>
      </c>
      <c r="B143" s="110" t="s">
        <v>203</v>
      </c>
      <c r="C143" s="87">
        <v>190891.6</v>
      </c>
      <c r="D143" s="87"/>
      <c r="E143" s="87">
        <f t="shared" si="5"/>
        <v>190891.6</v>
      </c>
      <c r="G143" s="16">
        <f t="shared" si="10"/>
        <v>190891.6</v>
      </c>
      <c r="H143" s="98"/>
      <c r="I143" s="22"/>
      <c r="J143" s="85"/>
      <c r="K143" s="21"/>
    </row>
    <row r="144" spans="1:11" x14ac:dyDescent="0.2">
      <c r="A144" s="40">
        <v>73234</v>
      </c>
      <c r="B144" s="110" t="s">
        <v>204</v>
      </c>
      <c r="C144" s="87">
        <v>3000</v>
      </c>
      <c r="D144" s="87"/>
      <c r="E144" s="87">
        <f t="shared" si="5"/>
        <v>3000</v>
      </c>
      <c r="G144" s="16">
        <f t="shared" si="10"/>
        <v>3000</v>
      </c>
      <c r="H144" s="98"/>
      <c r="I144" s="22"/>
      <c r="J144" s="85"/>
      <c r="K144" s="21"/>
    </row>
    <row r="145" spans="1:14" x14ac:dyDescent="0.2">
      <c r="A145" s="40">
        <v>73329</v>
      </c>
      <c r="B145" s="110" t="s">
        <v>205</v>
      </c>
      <c r="C145" s="87">
        <v>4027.62</v>
      </c>
      <c r="D145" s="87"/>
      <c r="E145" s="87">
        <f t="shared" si="5"/>
        <v>4027.62</v>
      </c>
      <c r="G145" s="16">
        <f t="shared" si="10"/>
        <v>4027.62</v>
      </c>
      <c r="H145" s="98"/>
      <c r="I145" s="22"/>
      <c r="J145" s="85"/>
      <c r="K145" s="21"/>
    </row>
    <row r="146" spans="1:14" x14ac:dyDescent="0.2">
      <c r="A146" s="40">
        <v>73401</v>
      </c>
      <c r="B146" s="110" t="s">
        <v>46</v>
      </c>
      <c r="C146" s="87">
        <v>391704.8</v>
      </c>
      <c r="D146" s="87"/>
      <c r="E146" s="87">
        <f t="shared" si="5"/>
        <v>391704.8</v>
      </c>
      <c r="G146" s="16">
        <f t="shared" si="10"/>
        <v>391704.8</v>
      </c>
      <c r="H146" s="98"/>
      <c r="I146" s="22"/>
      <c r="J146" s="85"/>
      <c r="K146" s="21"/>
    </row>
    <row r="147" spans="1:14" x14ac:dyDescent="0.2">
      <c r="A147" s="40">
        <v>73503</v>
      </c>
      <c r="B147" s="110" t="s">
        <v>206</v>
      </c>
      <c r="C147" s="87">
        <v>77562.570000000007</v>
      </c>
      <c r="D147" s="87"/>
      <c r="E147" s="87">
        <f t="shared" si="5"/>
        <v>77562.570000000007</v>
      </c>
      <c r="G147" s="16">
        <f t="shared" si="10"/>
        <v>77562.570000000007</v>
      </c>
      <c r="H147" s="98"/>
      <c r="I147" s="22"/>
      <c r="J147" s="85"/>
      <c r="K147" s="21"/>
    </row>
    <row r="148" spans="1:14" x14ac:dyDescent="0.2">
      <c r="A148" s="40">
        <v>74101</v>
      </c>
      <c r="B148" s="110" t="s">
        <v>207</v>
      </c>
      <c r="C148" s="87">
        <v>103140.75</v>
      </c>
      <c r="D148" s="87"/>
      <c r="E148" s="87">
        <f t="shared" ref="E148:E155" si="11">+C148-D148</f>
        <v>103140.75</v>
      </c>
      <c r="G148" s="16">
        <f>+E148</f>
        <v>103140.75</v>
      </c>
      <c r="H148" s="98"/>
      <c r="I148" s="22"/>
      <c r="J148" s="85"/>
      <c r="K148" s="21"/>
    </row>
    <row r="149" spans="1:14" x14ac:dyDescent="0.2">
      <c r="A149" s="40">
        <v>74103</v>
      </c>
      <c r="B149" s="110" t="s">
        <v>208</v>
      </c>
      <c r="C149" s="87">
        <v>33925</v>
      </c>
      <c r="D149" s="87"/>
      <c r="E149" s="87">
        <f t="shared" si="11"/>
        <v>33925</v>
      </c>
      <c r="G149" s="16">
        <f>+E149</f>
        <v>33925</v>
      </c>
      <c r="H149" s="98"/>
      <c r="I149" s="22"/>
      <c r="J149" s="85"/>
      <c r="K149" s="21"/>
    </row>
    <row r="150" spans="1:14" s="15" customFormat="1" ht="12" x14ac:dyDescent="0.25">
      <c r="A150" s="117">
        <v>75199</v>
      </c>
      <c r="B150" s="15" t="s">
        <v>209</v>
      </c>
      <c r="C150" s="118">
        <v>147471.98000000001</v>
      </c>
      <c r="D150" s="118">
        <f>+C150*0.7</f>
        <v>103230.386</v>
      </c>
      <c r="E150" s="118">
        <f t="shared" si="11"/>
        <v>44241.594000000012</v>
      </c>
      <c r="G150" s="16">
        <f>+E150*$G$3+D150</f>
        <v>143070.39284183673</v>
      </c>
      <c r="H150" s="98">
        <f t="shared" si="9"/>
        <v>4401.5871581632664</v>
      </c>
      <c r="I150" s="89"/>
      <c r="J150" s="122" t="s">
        <v>218</v>
      </c>
      <c r="K150" s="21"/>
      <c r="L150" s="28"/>
      <c r="M150" s="28"/>
      <c r="N150" s="28"/>
    </row>
    <row r="151" spans="1:14" x14ac:dyDescent="0.2">
      <c r="A151" s="40">
        <v>77103</v>
      </c>
      <c r="B151" s="110" t="s">
        <v>210</v>
      </c>
      <c r="C151" s="87">
        <v>-69553.039999999994</v>
      </c>
      <c r="D151" s="87"/>
      <c r="E151" s="87">
        <f t="shared" si="11"/>
        <v>-69553.039999999994</v>
      </c>
      <c r="G151" s="16">
        <f>+E151</f>
        <v>-69553.039999999994</v>
      </c>
      <c r="H151" s="98"/>
      <c r="I151" s="22"/>
      <c r="J151" s="85"/>
      <c r="K151" s="21"/>
    </row>
    <row r="152" spans="1:14" x14ac:dyDescent="0.2">
      <c r="A152" s="40">
        <v>77111</v>
      </c>
      <c r="B152" s="110" t="s">
        <v>211</v>
      </c>
      <c r="C152" s="87">
        <v>166666.67000000001</v>
      </c>
      <c r="D152" s="87"/>
      <c r="E152" s="87">
        <f t="shared" si="11"/>
        <v>166666.67000000001</v>
      </c>
      <c r="G152" s="16">
        <f t="shared" si="8"/>
        <v>150085.03701530612</v>
      </c>
      <c r="H152" s="98">
        <f t="shared" si="9"/>
        <v>16581.632984693879</v>
      </c>
      <c r="I152" s="22"/>
      <c r="J152" s="85"/>
      <c r="K152" s="135" t="s">
        <v>230</v>
      </c>
    </row>
    <row r="153" spans="1:14" x14ac:dyDescent="0.2">
      <c r="A153" s="40">
        <v>77501</v>
      </c>
      <c r="B153" s="110" t="s">
        <v>212</v>
      </c>
      <c r="C153" s="87">
        <v>12822.09</v>
      </c>
      <c r="D153" s="87"/>
      <c r="E153" s="87">
        <f t="shared" si="11"/>
        <v>12822.09</v>
      </c>
      <c r="G153" s="16">
        <f>+E153</f>
        <v>12822.09</v>
      </c>
      <c r="H153" s="98"/>
      <c r="I153" s="22"/>
      <c r="J153" s="85"/>
      <c r="K153" s="21"/>
    </row>
    <row r="154" spans="1:14" x14ac:dyDescent="0.2">
      <c r="A154" s="40">
        <v>77513</v>
      </c>
      <c r="B154" s="110" t="s">
        <v>213</v>
      </c>
      <c r="C154" s="87">
        <v>-50</v>
      </c>
      <c r="D154" s="87"/>
      <c r="E154" s="87">
        <f t="shared" si="11"/>
        <v>-50</v>
      </c>
      <c r="G154" s="16">
        <f>+E154</f>
        <v>-50</v>
      </c>
      <c r="H154" s="98"/>
      <c r="I154" s="22"/>
      <c r="J154" s="85"/>
      <c r="K154" s="21"/>
    </row>
    <row r="155" spans="1:14" x14ac:dyDescent="0.2">
      <c r="A155" s="40">
        <v>77901</v>
      </c>
      <c r="B155" s="110" t="s">
        <v>214</v>
      </c>
      <c r="C155" s="87">
        <v>8.86</v>
      </c>
      <c r="D155" s="87"/>
      <c r="E155" s="87">
        <f t="shared" si="11"/>
        <v>8.86</v>
      </c>
      <c r="G155" s="16">
        <f>+E155</f>
        <v>8.86</v>
      </c>
      <c r="H155" s="98"/>
      <c r="I155" s="22"/>
      <c r="J155" s="85"/>
      <c r="K155" s="21"/>
    </row>
    <row r="156" spans="1:14" x14ac:dyDescent="0.2">
      <c r="G156" s="16"/>
      <c r="H156" s="16"/>
      <c r="I156" s="22"/>
      <c r="J156" s="74"/>
      <c r="K156" s="21"/>
    </row>
    <row r="157" spans="1:14" x14ac:dyDescent="0.2">
      <c r="B157" s="18" t="s">
        <v>42</v>
      </c>
      <c r="C157" s="19">
        <f>SUM(C5:C155)</f>
        <v>45428003.800000004</v>
      </c>
      <c r="D157" s="19">
        <f>SUM(D12:D155)</f>
        <v>444342.87099999998</v>
      </c>
      <c r="E157" s="19">
        <f>SUM(E5:E155)</f>
        <v>44983660.928999998</v>
      </c>
      <c r="F157" s="19"/>
      <c r="G157" s="19">
        <f>SUM(G5:G155)</f>
        <v>45000047.737982169</v>
      </c>
      <c r="H157" s="19">
        <f>SUM(H5:H155)</f>
        <v>426846.94811310415</v>
      </c>
      <c r="I157" s="101"/>
      <c r="J157" s="74"/>
      <c r="K157" s="21"/>
    </row>
    <row r="158" spans="1:14" x14ac:dyDescent="0.2">
      <c r="G158" s="16"/>
      <c r="H158" s="16"/>
      <c r="I158" s="22"/>
      <c r="J158" s="74"/>
    </row>
    <row r="159" spans="1:14" x14ac:dyDescent="0.2">
      <c r="G159" s="16"/>
      <c r="H159" s="16"/>
      <c r="I159" s="22"/>
      <c r="J159" s="85"/>
    </row>
    <row r="160" spans="1:14" x14ac:dyDescent="0.2">
      <c r="A160" s="20"/>
      <c r="B160" s="20"/>
      <c r="C160" s="21"/>
      <c r="D160" s="21"/>
      <c r="E160" s="21"/>
      <c r="F160" s="20"/>
      <c r="G160" s="22"/>
      <c r="H160" s="22"/>
      <c r="I160" s="22"/>
      <c r="J160" s="85"/>
    </row>
    <row r="161" spans="1:10" x14ac:dyDescent="0.2">
      <c r="A161" s="20"/>
      <c r="B161" s="90"/>
      <c r="C161" s="21"/>
      <c r="D161" s="21"/>
      <c r="E161" s="21"/>
      <c r="F161" s="20"/>
      <c r="G161" s="22"/>
      <c r="H161" s="22"/>
      <c r="I161" s="22"/>
      <c r="J161" s="85"/>
    </row>
    <row r="162" spans="1:10" x14ac:dyDescent="0.2">
      <c r="A162" s="20"/>
      <c r="B162" s="20"/>
      <c r="C162" s="21"/>
      <c r="D162" s="21"/>
      <c r="E162" s="21"/>
      <c r="F162" s="20"/>
      <c r="G162" s="22"/>
      <c r="H162" s="22"/>
      <c r="I162" s="22"/>
      <c r="J162" s="85"/>
    </row>
    <row r="163" spans="1:10" x14ac:dyDescent="0.2">
      <c r="G163" s="16"/>
      <c r="H163" s="16"/>
      <c r="I163" s="22"/>
      <c r="J163" s="85"/>
    </row>
    <row r="164" spans="1:10" x14ac:dyDescent="0.2">
      <c r="G164" s="16"/>
      <c r="H164" s="16"/>
      <c r="I164" s="22"/>
      <c r="J164" s="85"/>
    </row>
    <row r="165" spans="1:10" x14ac:dyDescent="0.2">
      <c r="G165" s="16"/>
      <c r="H165" s="16"/>
      <c r="I165" s="22"/>
      <c r="J165" s="85"/>
    </row>
    <row r="166" spans="1:10" x14ac:dyDescent="0.2">
      <c r="G166" s="16"/>
      <c r="H166" s="16"/>
      <c r="I166" s="22"/>
      <c r="J166" s="85"/>
    </row>
    <row r="167" spans="1:10" x14ac:dyDescent="0.2">
      <c r="G167" s="16"/>
      <c r="H167" s="16"/>
      <c r="I167" s="22"/>
      <c r="J167" s="85"/>
    </row>
    <row r="168" spans="1:10" x14ac:dyDescent="0.2">
      <c r="G168" s="16"/>
      <c r="H168" s="16"/>
      <c r="I168" s="22"/>
      <c r="J168" s="85"/>
    </row>
    <row r="169" spans="1:10" x14ac:dyDescent="0.2">
      <c r="G169" s="16"/>
      <c r="H169" s="16"/>
      <c r="I169" s="22"/>
      <c r="J169" s="85"/>
    </row>
    <row r="170" spans="1:10" x14ac:dyDescent="0.2">
      <c r="G170" s="16"/>
      <c r="H170" s="16"/>
      <c r="I170" s="22"/>
      <c r="J170" s="85"/>
    </row>
    <row r="171" spans="1:10" x14ac:dyDescent="0.2">
      <c r="G171" s="16"/>
      <c r="H171" s="16"/>
      <c r="I171" s="22"/>
      <c r="J171" s="85"/>
    </row>
    <row r="172" spans="1:10" x14ac:dyDescent="0.2">
      <c r="A172" s="106"/>
      <c r="B172" s="106"/>
      <c r="C172" s="73"/>
      <c r="D172" s="73"/>
      <c r="E172" s="73"/>
      <c r="F172" s="106"/>
      <c r="G172" s="72"/>
      <c r="H172" s="72"/>
      <c r="I172" s="72"/>
      <c r="J172" s="107"/>
    </row>
    <row r="173" spans="1:10" x14ac:dyDescent="0.2">
      <c r="A173" s="106"/>
      <c r="B173" s="106"/>
      <c r="C173" s="73"/>
      <c r="D173" s="73"/>
      <c r="E173" s="73"/>
      <c r="F173" s="106"/>
      <c r="G173" s="72"/>
      <c r="H173" s="72"/>
      <c r="I173" s="72"/>
      <c r="J173" s="107"/>
    </row>
    <row r="174" spans="1:10" x14ac:dyDescent="0.2">
      <c r="A174" s="106"/>
      <c r="B174" s="106"/>
      <c r="C174" s="73"/>
      <c r="D174" s="73"/>
      <c r="E174" s="73"/>
      <c r="F174" s="106"/>
      <c r="G174" s="72"/>
      <c r="H174" s="72"/>
      <c r="I174" s="72"/>
      <c r="J174" s="107"/>
    </row>
    <row r="175" spans="1:10" ht="13.2" x14ac:dyDescent="0.25">
      <c r="A175" s="31"/>
      <c r="B175" s="9"/>
      <c r="C175" s="53"/>
      <c r="D175" s="53"/>
      <c r="E175" s="53"/>
      <c r="F175" s="9"/>
      <c r="G175" s="95"/>
      <c r="H175" s="95"/>
      <c r="I175" s="95"/>
      <c r="J175" s="107"/>
    </row>
    <row r="176" spans="1:10" ht="13.2" x14ac:dyDescent="0.25">
      <c r="A176" s="31"/>
      <c r="B176" s="9"/>
      <c r="C176" s="53"/>
      <c r="D176" s="53"/>
      <c r="E176" s="53"/>
      <c r="F176" s="9"/>
      <c r="G176" s="96"/>
      <c r="H176" s="96"/>
      <c r="I176" s="95"/>
      <c r="J176" s="107"/>
    </row>
    <row r="177" spans="1:10" ht="13.2" x14ac:dyDescent="0.25">
      <c r="A177" s="31"/>
      <c r="B177" s="9"/>
      <c r="C177" s="53"/>
      <c r="D177" s="53"/>
      <c r="E177" s="53"/>
      <c r="F177" s="9"/>
      <c r="G177" s="96"/>
      <c r="H177" s="96"/>
      <c r="I177" s="95"/>
      <c r="J177" s="107"/>
    </row>
    <row r="178" spans="1:10" ht="13.2" x14ac:dyDescent="0.25">
      <c r="A178" s="31"/>
      <c r="B178" s="31"/>
      <c r="C178" s="83"/>
      <c r="D178" s="83"/>
      <c r="E178" s="83"/>
      <c r="F178" s="31"/>
      <c r="G178" s="103"/>
      <c r="H178" s="103"/>
      <c r="I178" s="104"/>
      <c r="J178" s="107"/>
    </row>
    <row r="179" spans="1:10" ht="13.2" x14ac:dyDescent="0.25">
      <c r="A179" s="31"/>
      <c r="B179" s="9"/>
      <c r="C179" s="83"/>
      <c r="D179" s="83"/>
      <c r="E179" s="83"/>
      <c r="F179" s="31"/>
      <c r="G179" s="103"/>
      <c r="H179" s="103"/>
      <c r="I179" s="104"/>
      <c r="J179" s="107"/>
    </row>
    <row r="180" spans="1:10" ht="13.2" x14ac:dyDescent="0.25">
      <c r="A180" s="9"/>
      <c r="B180" s="9"/>
      <c r="C180" s="73"/>
      <c r="D180" s="105"/>
      <c r="E180" s="49"/>
      <c r="F180" s="9"/>
      <c r="G180" s="49"/>
      <c r="H180" s="49"/>
      <c r="I180" s="53"/>
      <c r="J180" s="107"/>
    </row>
    <row r="181" spans="1:10" ht="13.2" x14ac:dyDescent="0.25">
      <c r="A181" s="9"/>
      <c r="B181" s="9"/>
      <c r="C181" s="88"/>
      <c r="D181" s="105"/>
      <c r="E181" s="49"/>
      <c r="F181" s="9"/>
      <c r="G181" s="49"/>
      <c r="H181" s="49"/>
      <c r="I181" s="53"/>
      <c r="J181" s="107"/>
    </row>
    <row r="182" spans="1:10" ht="13.2" x14ac:dyDescent="0.25">
      <c r="A182" s="9"/>
      <c r="B182" s="9"/>
      <c r="C182" s="88"/>
      <c r="D182" s="105"/>
      <c r="E182" s="49"/>
      <c r="F182" s="9"/>
      <c r="G182" s="49"/>
      <c r="H182" s="49"/>
      <c r="I182" s="53"/>
      <c r="J182" s="107"/>
    </row>
    <row r="183" spans="1:10" ht="13.2" x14ac:dyDescent="0.25">
      <c r="A183" s="9"/>
      <c r="B183" s="9"/>
      <c r="C183" s="88"/>
      <c r="D183" s="105"/>
      <c r="E183" s="49"/>
      <c r="F183" s="9"/>
      <c r="G183" s="49"/>
      <c r="H183" s="49"/>
      <c r="I183" s="53"/>
      <c r="J183" s="107"/>
    </row>
    <row r="184" spans="1:10" ht="13.2" x14ac:dyDescent="0.25">
      <c r="A184" s="9"/>
      <c r="B184" s="9"/>
      <c r="C184" s="88"/>
      <c r="D184" s="105"/>
      <c r="E184" s="49"/>
      <c r="F184" s="9"/>
      <c r="G184" s="49"/>
      <c r="H184" s="49"/>
      <c r="I184" s="53"/>
      <c r="J184" s="107"/>
    </row>
    <row r="185" spans="1:10" ht="13.2" x14ac:dyDescent="0.25">
      <c r="A185" s="9"/>
      <c r="B185" s="9"/>
      <c r="C185" s="88"/>
      <c r="D185" s="105"/>
      <c r="E185" s="49"/>
      <c r="F185" s="9"/>
      <c r="G185" s="49"/>
      <c r="H185" s="49"/>
      <c r="I185" s="53"/>
      <c r="J185" s="107"/>
    </row>
    <row r="186" spans="1:10" ht="13.2" x14ac:dyDescent="0.25">
      <c r="A186" s="9"/>
      <c r="B186" s="9"/>
      <c r="C186" s="88"/>
      <c r="D186" s="105"/>
      <c r="E186" s="49"/>
      <c r="F186" s="9"/>
      <c r="G186" s="49"/>
      <c r="H186" s="49"/>
      <c r="I186" s="53"/>
      <c r="J186" s="107"/>
    </row>
    <row r="187" spans="1:10" ht="13.2" x14ac:dyDescent="0.25">
      <c r="A187" s="9"/>
      <c r="B187" s="9"/>
      <c r="C187" s="88"/>
      <c r="D187" s="105"/>
      <c r="E187" s="49"/>
      <c r="F187" s="9"/>
      <c r="G187" s="49"/>
      <c r="H187" s="49"/>
      <c r="I187" s="53"/>
      <c r="J187" s="107"/>
    </row>
    <row r="188" spans="1:10" ht="13.2" x14ac:dyDescent="0.25">
      <c r="A188" s="9"/>
      <c r="B188" s="9"/>
      <c r="C188" s="88"/>
      <c r="D188" s="105"/>
      <c r="E188" s="49"/>
      <c r="F188" s="9"/>
      <c r="G188" s="49"/>
      <c r="H188" s="49"/>
      <c r="I188" s="53"/>
      <c r="J188" s="107"/>
    </row>
    <row r="189" spans="1:10" ht="13.2" x14ac:dyDescent="0.25">
      <c r="A189" s="9"/>
      <c r="B189" s="9"/>
      <c r="C189" s="88"/>
      <c r="D189" s="105"/>
      <c r="E189" s="49"/>
      <c r="F189" s="9"/>
      <c r="G189" s="49"/>
      <c r="H189" s="49"/>
      <c r="I189" s="53"/>
      <c r="J189" s="107"/>
    </row>
    <row r="190" spans="1:10" ht="13.2" x14ac:dyDescent="0.25">
      <c r="A190" s="9"/>
      <c r="B190" s="9"/>
      <c r="C190" s="88"/>
      <c r="D190" s="105"/>
      <c r="E190" s="49"/>
      <c r="F190" s="9"/>
      <c r="G190" s="49"/>
      <c r="H190" s="49"/>
      <c r="I190" s="53"/>
      <c r="J190" s="107"/>
    </row>
    <row r="191" spans="1:10" ht="13.2" x14ac:dyDescent="0.25">
      <c r="A191" s="9"/>
      <c r="B191" s="9"/>
      <c r="C191" s="88"/>
      <c r="D191" s="105"/>
      <c r="E191" s="49"/>
      <c r="F191" s="9"/>
      <c r="G191" s="49"/>
      <c r="H191" s="49"/>
      <c r="I191" s="53"/>
      <c r="J191" s="107"/>
    </row>
    <row r="192" spans="1:10" ht="13.2" x14ac:dyDescent="0.25">
      <c r="A192" s="9"/>
      <c r="B192" s="9"/>
      <c r="C192" s="88"/>
      <c r="D192" s="105"/>
      <c r="E192" s="49"/>
      <c r="F192" s="9"/>
      <c r="G192" s="49"/>
      <c r="H192" s="49"/>
      <c r="I192" s="53"/>
      <c r="J192" s="107"/>
    </row>
    <row r="193" spans="1:10" ht="13.2" x14ac:dyDescent="0.25">
      <c r="A193" s="9"/>
      <c r="B193" s="9"/>
      <c r="C193" s="88"/>
      <c r="D193" s="105"/>
      <c r="E193" s="49"/>
      <c r="F193" s="9"/>
      <c r="G193" s="49"/>
      <c r="H193" s="49"/>
      <c r="I193" s="53"/>
      <c r="J193" s="107"/>
    </row>
    <row r="194" spans="1:10" ht="13.2" x14ac:dyDescent="0.25">
      <c r="A194" s="9"/>
      <c r="B194" s="9"/>
      <c r="C194" s="88"/>
      <c r="D194" s="105"/>
      <c r="E194" s="49"/>
      <c r="F194" s="9"/>
      <c r="G194" s="49"/>
      <c r="H194" s="49"/>
      <c r="I194" s="53"/>
      <c r="J194" s="107"/>
    </row>
    <row r="195" spans="1:10" ht="13.2" x14ac:dyDescent="0.25">
      <c r="A195" s="9"/>
      <c r="B195" s="9"/>
      <c r="C195" s="88"/>
      <c r="D195" s="105"/>
      <c r="E195" s="49"/>
      <c r="F195" s="9"/>
      <c r="G195" s="49"/>
      <c r="H195" s="49"/>
      <c r="I195" s="53"/>
      <c r="J195" s="107"/>
    </row>
    <row r="196" spans="1:10" ht="13.2" x14ac:dyDescent="0.25">
      <c r="A196" s="9"/>
      <c r="B196" s="9"/>
      <c r="C196" s="88"/>
      <c r="D196" s="105"/>
      <c r="E196" s="49"/>
      <c r="F196" s="9"/>
      <c r="G196" s="49"/>
      <c r="H196" s="49"/>
      <c r="I196" s="53"/>
      <c r="J196" s="107"/>
    </row>
    <row r="197" spans="1:10" ht="13.2" x14ac:dyDescent="0.25">
      <c r="A197" s="9"/>
      <c r="B197" s="9"/>
      <c r="C197" s="88"/>
      <c r="D197" s="105"/>
      <c r="E197" s="49"/>
      <c r="F197" s="9"/>
      <c r="G197" s="49"/>
      <c r="H197" s="49"/>
      <c r="I197" s="53"/>
      <c r="J197" s="107"/>
    </row>
    <row r="198" spans="1:10" ht="13.2" x14ac:dyDescent="0.25">
      <c r="A198" s="9"/>
      <c r="B198" s="9"/>
      <c r="C198" s="88"/>
      <c r="D198" s="105"/>
      <c r="E198" s="49"/>
      <c r="F198" s="9"/>
      <c r="G198" s="49"/>
      <c r="H198" s="49"/>
      <c r="I198" s="53"/>
      <c r="J198" s="107"/>
    </row>
    <row r="199" spans="1:10" ht="13.2" x14ac:dyDescent="0.25">
      <c r="A199" s="9"/>
      <c r="B199" s="9"/>
      <c r="C199" s="88"/>
      <c r="D199" s="105"/>
      <c r="E199" s="49"/>
      <c r="F199" s="9"/>
      <c r="G199" s="49"/>
      <c r="H199" s="49"/>
      <c r="I199" s="53"/>
      <c r="J199" s="107"/>
    </row>
    <row r="200" spans="1:10" ht="13.2" x14ac:dyDescent="0.25">
      <c r="A200" s="9"/>
      <c r="B200" s="9"/>
      <c r="C200" s="88"/>
      <c r="D200" s="105"/>
      <c r="E200" s="49"/>
      <c r="F200" s="9"/>
      <c r="G200" s="49"/>
      <c r="H200" s="49"/>
      <c r="I200" s="53"/>
      <c r="J200" s="107"/>
    </row>
    <row r="201" spans="1:10" ht="13.2" x14ac:dyDescent="0.25">
      <c r="A201" s="9"/>
      <c r="B201" s="53"/>
      <c r="C201" s="53"/>
      <c r="D201" s="53"/>
      <c r="E201" s="49"/>
      <c r="F201" s="53"/>
      <c r="G201" s="53"/>
      <c r="H201" s="53"/>
      <c r="I201" s="53"/>
      <c r="J201" s="107"/>
    </row>
    <row r="202" spans="1:10" ht="13.2" x14ac:dyDescent="0.25">
      <c r="A202" s="9"/>
      <c r="B202" s="53"/>
      <c r="C202" s="53"/>
      <c r="D202" s="53"/>
      <c r="E202" s="49"/>
      <c r="F202" s="53"/>
      <c r="G202" s="53"/>
      <c r="H202" s="53"/>
      <c r="I202" s="53"/>
      <c r="J202" s="107"/>
    </row>
    <row r="203" spans="1:10" ht="13.2" x14ac:dyDescent="0.25">
      <c r="A203" s="9"/>
      <c r="B203" s="53"/>
      <c r="C203" s="53"/>
      <c r="D203" s="53"/>
      <c r="E203" s="49"/>
      <c r="F203" s="53"/>
      <c r="G203" s="53"/>
      <c r="H203" s="53"/>
      <c r="I203" s="53"/>
      <c r="J203" s="107"/>
    </row>
    <row r="204" spans="1:10" x14ac:dyDescent="0.2">
      <c r="A204" s="106"/>
      <c r="B204" s="106"/>
      <c r="C204" s="73"/>
      <c r="D204" s="73"/>
      <c r="E204" s="73"/>
      <c r="F204" s="106"/>
      <c r="G204" s="72"/>
      <c r="H204" s="72"/>
      <c r="I204" s="72"/>
      <c r="J204" s="107"/>
    </row>
    <row r="205" spans="1:10" x14ac:dyDescent="0.2">
      <c r="A205" s="106"/>
      <c r="B205" s="106"/>
      <c r="C205" s="73"/>
      <c r="D205" s="73"/>
      <c r="E205" s="73"/>
      <c r="F205" s="106"/>
      <c r="G205" s="72"/>
      <c r="H205" s="72"/>
      <c r="I205" s="72"/>
      <c r="J205" s="107"/>
    </row>
    <row r="206" spans="1:10" x14ac:dyDescent="0.2">
      <c r="G206" s="16"/>
      <c r="H206" s="16"/>
      <c r="I206" s="22"/>
      <c r="J206" s="85"/>
    </row>
    <row r="207" spans="1:10" x14ac:dyDescent="0.2">
      <c r="G207" s="16"/>
      <c r="H207" s="16"/>
      <c r="I207" s="22"/>
      <c r="J207" s="85"/>
    </row>
    <row r="208" spans="1:10" x14ac:dyDescent="0.2">
      <c r="G208" s="16"/>
      <c r="H208" s="16"/>
      <c r="I208" s="22"/>
      <c r="J208" s="85"/>
    </row>
    <row r="209" spans="7:10" x14ac:dyDescent="0.2">
      <c r="G209" s="16"/>
      <c r="H209" s="16"/>
      <c r="I209" s="22"/>
      <c r="J209" s="85"/>
    </row>
    <row r="210" spans="7:10" x14ac:dyDescent="0.2">
      <c r="G210" s="16"/>
      <c r="H210" s="16"/>
      <c r="I210" s="22"/>
      <c r="J210" s="85"/>
    </row>
    <row r="211" spans="7:10" x14ac:dyDescent="0.2">
      <c r="G211" s="16"/>
      <c r="H211" s="16"/>
      <c r="I211" s="22"/>
      <c r="J211" s="85"/>
    </row>
    <row r="212" spans="7:10" x14ac:dyDescent="0.2">
      <c r="G212" s="16"/>
      <c r="H212" s="16"/>
      <c r="I212" s="22"/>
      <c r="J212" s="85"/>
    </row>
    <row r="213" spans="7:10" x14ac:dyDescent="0.2">
      <c r="G213" s="16"/>
      <c r="H213" s="16"/>
      <c r="I213" s="22"/>
      <c r="J213" s="85"/>
    </row>
    <row r="214" spans="7:10" x14ac:dyDescent="0.2">
      <c r="G214" s="16"/>
      <c r="H214" s="16"/>
      <c r="I214" s="22"/>
      <c r="J214" s="85"/>
    </row>
    <row r="215" spans="7:10" x14ac:dyDescent="0.2">
      <c r="G215" s="16"/>
      <c r="H215" s="16"/>
      <c r="I215" s="22"/>
      <c r="J215" s="85"/>
    </row>
    <row r="216" spans="7:10" x14ac:dyDescent="0.2">
      <c r="G216" s="16"/>
      <c r="H216" s="16"/>
      <c r="I216" s="22"/>
      <c r="J216" s="85"/>
    </row>
    <row r="217" spans="7:10" x14ac:dyDescent="0.2">
      <c r="G217" s="16"/>
      <c r="H217" s="16"/>
      <c r="I217" s="22"/>
      <c r="J217" s="85"/>
    </row>
    <row r="218" spans="7:10" x14ac:dyDescent="0.2">
      <c r="G218" s="16"/>
      <c r="H218" s="16"/>
      <c r="I218" s="22"/>
      <c r="J218" s="85"/>
    </row>
    <row r="219" spans="7:10" x14ac:dyDescent="0.2">
      <c r="G219" s="16"/>
      <c r="H219" s="16"/>
      <c r="I219" s="22"/>
      <c r="J219" s="85"/>
    </row>
    <row r="220" spans="7:10" x14ac:dyDescent="0.2">
      <c r="G220" s="16"/>
      <c r="H220" s="16"/>
      <c r="I220" s="22"/>
      <c r="J220" s="85"/>
    </row>
    <row r="221" spans="7:10" x14ac:dyDescent="0.2">
      <c r="G221" s="16"/>
      <c r="H221" s="16"/>
      <c r="I221" s="22"/>
      <c r="J221" s="85"/>
    </row>
    <row r="222" spans="7:10" x14ac:dyDescent="0.2">
      <c r="G222" s="16"/>
      <c r="H222" s="16"/>
      <c r="I222" s="22"/>
      <c r="J222" s="85"/>
    </row>
    <row r="223" spans="7:10" x14ac:dyDescent="0.2">
      <c r="G223" s="16"/>
      <c r="H223" s="16"/>
      <c r="I223" s="22"/>
      <c r="J223" s="85"/>
    </row>
    <row r="224" spans="7:10" x14ac:dyDescent="0.2">
      <c r="G224" s="16"/>
      <c r="H224" s="16"/>
      <c r="I224" s="22"/>
      <c r="J224" s="85"/>
    </row>
    <row r="225" spans="7:10" x14ac:dyDescent="0.2">
      <c r="G225" s="16"/>
      <c r="H225" s="16"/>
      <c r="I225" s="22"/>
      <c r="J225" s="85"/>
    </row>
    <row r="226" spans="7:10" x14ac:dyDescent="0.2">
      <c r="G226" s="16"/>
      <c r="H226" s="16"/>
      <c r="I226" s="22"/>
      <c r="J226" s="16"/>
    </row>
    <row r="227" spans="7:10" x14ac:dyDescent="0.2">
      <c r="G227" s="16"/>
      <c r="H227" s="16"/>
      <c r="I227" s="22"/>
      <c r="J227" s="16"/>
    </row>
    <row r="228" spans="7:10" x14ac:dyDescent="0.2">
      <c r="G228" s="16"/>
      <c r="H228" s="16"/>
      <c r="I228" s="22"/>
      <c r="J228" s="16"/>
    </row>
    <row r="229" spans="7:10" x14ac:dyDescent="0.2">
      <c r="G229" s="16"/>
      <c r="H229" s="16"/>
      <c r="I229" s="22"/>
      <c r="J229" s="16"/>
    </row>
    <row r="230" spans="7:10" x14ac:dyDescent="0.2">
      <c r="G230" s="16"/>
      <c r="H230" s="16"/>
      <c r="I230" s="22"/>
      <c r="J230" s="16"/>
    </row>
    <row r="231" spans="7:10" x14ac:dyDescent="0.2">
      <c r="G231" s="16"/>
      <c r="H231" s="16"/>
      <c r="I231" s="22"/>
      <c r="J231" s="16"/>
    </row>
    <row r="232" spans="7:10" x14ac:dyDescent="0.2">
      <c r="G232" s="16"/>
      <c r="H232" s="16"/>
      <c r="I232" s="22"/>
      <c r="J232" s="16"/>
    </row>
    <row r="233" spans="7:10" x14ac:dyDescent="0.2">
      <c r="G233" s="16"/>
      <c r="H233" s="16"/>
      <c r="I233" s="22"/>
      <c r="J233" s="16"/>
    </row>
    <row r="234" spans="7:10" x14ac:dyDescent="0.2">
      <c r="G234" s="16"/>
      <c r="H234" s="16"/>
      <c r="I234" s="22"/>
      <c r="J234" s="16"/>
    </row>
    <row r="235" spans="7:10" x14ac:dyDescent="0.2">
      <c r="G235" s="16"/>
      <c r="H235" s="16"/>
      <c r="I235" s="22"/>
      <c r="J235" s="16"/>
    </row>
    <row r="236" spans="7:10" x14ac:dyDescent="0.2">
      <c r="G236" s="16"/>
      <c r="H236" s="16"/>
      <c r="I236" s="22"/>
      <c r="J236" s="16"/>
    </row>
    <row r="237" spans="7:10" x14ac:dyDescent="0.2">
      <c r="G237" s="16"/>
      <c r="H237" s="16"/>
      <c r="I237" s="22"/>
      <c r="J237" s="16"/>
    </row>
    <row r="238" spans="7:10" x14ac:dyDescent="0.2">
      <c r="G238" s="16"/>
      <c r="H238" s="16"/>
      <c r="I238" s="22"/>
      <c r="J238" s="16"/>
    </row>
    <row r="239" spans="7:10" x14ac:dyDescent="0.2">
      <c r="G239" s="16"/>
      <c r="H239" s="16"/>
      <c r="I239" s="22"/>
      <c r="J239" s="16"/>
    </row>
    <row r="240" spans="7:10" x14ac:dyDescent="0.2">
      <c r="G240" s="16"/>
      <c r="H240" s="16"/>
      <c r="I240" s="22"/>
      <c r="J240" s="16"/>
    </row>
    <row r="241" spans="7:10" x14ac:dyDescent="0.2">
      <c r="G241" s="16"/>
      <c r="H241" s="16"/>
      <c r="I241" s="22"/>
      <c r="J241" s="16"/>
    </row>
    <row r="242" spans="7:10" x14ac:dyDescent="0.2">
      <c r="G242" s="16"/>
      <c r="H242" s="16"/>
      <c r="I242" s="22"/>
      <c r="J242" s="16"/>
    </row>
    <row r="243" spans="7:10" x14ac:dyDescent="0.2">
      <c r="G243" s="16"/>
      <c r="H243" s="16"/>
      <c r="I243" s="22"/>
      <c r="J243" s="16"/>
    </row>
    <row r="244" spans="7:10" x14ac:dyDescent="0.2">
      <c r="G244" s="16"/>
      <c r="H244" s="16"/>
      <c r="I244" s="22"/>
      <c r="J244" s="16"/>
    </row>
    <row r="245" spans="7:10" x14ac:dyDescent="0.2">
      <c r="G245" s="16"/>
      <c r="H245" s="16"/>
      <c r="I245" s="22"/>
      <c r="J245" s="16"/>
    </row>
    <row r="246" spans="7:10" x14ac:dyDescent="0.2">
      <c r="G246" s="16"/>
      <c r="H246" s="16"/>
      <c r="I246" s="22"/>
      <c r="J246" s="16"/>
    </row>
    <row r="247" spans="7:10" x14ac:dyDescent="0.2">
      <c r="G247" s="16"/>
      <c r="H247" s="16"/>
      <c r="I247" s="22"/>
      <c r="J247" s="16"/>
    </row>
    <row r="248" spans="7:10" x14ac:dyDescent="0.2">
      <c r="G248" s="16"/>
      <c r="H248" s="16"/>
      <c r="I248" s="22"/>
      <c r="J248" s="16"/>
    </row>
    <row r="249" spans="7:10" x14ac:dyDescent="0.2">
      <c r="G249" s="16"/>
      <c r="H249" s="16"/>
      <c r="I249" s="22"/>
      <c r="J249" s="16"/>
    </row>
    <row r="250" spans="7:10" x14ac:dyDescent="0.2">
      <c r="G250" s="16"/>
      <c r="H250" s="16"/>
      <c r="I250" s="22"/>
      <c r="J250" s="16"/>
    </row>
    <row r="251" spans="7:10" x14ac:dyDescent="0.2">
      <c r="G251" s="16"/>
      <c r="H251" s="16"/>
      <c r="I251" s="22"/>
      <c r="J251" s="16"/>
    </row>
    <row r="252" spans="7:10" x14ac:dyDescent="0.2">
      <c r="G252" s="16"/>
      <c r="H252" s="16"/>
      <c r="I252" s="22"/>
      <c r="J252" s="16"/>
    </row>
    <row r="253" spans="7:10" x14ac:dyDescent="0.2">
      <c r="G253" s="16"/>
      <c r="H253" s="16"/>
      <c r="I253" s="22"/>
      <c r="J253" s="16"/>
    </row>
    <row r="254" spans="7:10" x14ac:dyDescent="0.2">
      <c r="G254" s="16"/>
      <c r="H254" s="16"/>
      <c r="I254" s="22"/>
      <c r="J254" s="16"/>
    </row>
    <row r="255" spans="7:10" x14ac:dyDescent="0.2">
      <c r="G255" s="16"/>
      <c r="H255" s="16"/>
      <c r="I255" s="22"/>
      <c r="J255" s="16"/>
    </row>
    <row r="256" spans="7:10" x14ac:dyDescent="0.2">
      <c r="G256" s="16"/>
      <c r="H256" s="16"/>
      <c r="I256" s="22"/>
      <c r="J256" s="16"/>
    </row>
    <row r="257" spans="7:10" x14ac:dyDescent="0.2">
      <c r="G257" s="16"/>
      <c r="H257" s="16"/>
      <c r="I257" s="22"/>
      <c r="J257" s="16"/>
    </row>
    <row r="258" spans="7:10" x14ac:dyDescent="0.2">
      <c r="G258" s="16"/>
      <c r="H258" s="16"/>
      <c r="I258" s="22"/>
      <c r="J258" s="16"/>
    </row>
    <row r="259" spans="7:10" x14ac:dyDescent="0.2">
      <c r="G259" s="16"/>
      <c r="H259" s="16"/>
      <c r="I259" s="22"/>
      <c r="J259" s="16"/>
    </row>
    <row r="260" spans="7:10" x14ac:dyDescent="0.2">
      <c r="G260" s="16"/>
      <c r="H260" s="16"/>
      <c r="I260" s="22"/>
      <c r="J260" s="16"/>
    </row>
    <row r="261" spans="7:10" x14ac:dyDescent="0.2">
      <c r="G261" s="16"/>
      <c r="H261" s="16"/>
      <c r="I261" s="22"/>
      <c r="J261" s="16"/>
    </row>
    <row r="262" spans="7:10" x14ac:dyDescent="0.2">
      <c r="G262" s="16"/>
      <c r="H262" s="16"/>
      <c r="I262" s="22"/>
      <c r="J262" s="16"/>
    </row>
    <row r="263" spans="7:10" x14ac:dyDescent="0.2">
      <c r="G263" s="16"/>
      <c r="H263" s="16"/>
      <c r="I263" s="22"/>
      <c r="J263" s="16"/>
    </row>
    <row r="264" spans="7:10" x14ac:dyDescent="0.2">
      <c r="G264" s="16"/>
      <c r="H264" s="16"/>
      <c r="I264" s="22"/>
      <c r="J264" s="16"/>
    </row>
    <row r="265" spans="7:10" x14ac:dyDescent="0.2">
      <c r="G265" s="16"/>
      <c r="H265" s="16"/>
      <c r="I265" s="22"/>
      <c r="J265" s="16"/>
    </row>
    <row r="266" spans="7:10" x14ac:dyDescent="0.2">
      <c r="G266" s="16"/>
      <c r="H266" s="16"/>
      <c r="I266" s="22"/>
      <c r="J266" s="16"/>
    </row>
    <row r="267" spans="7:10" x14ac:dyDescent="0.2">
      <c r="G267" s="16"/>
      <c r="H267" s="16"/>
      <c r="I267" s="22"/>
      <c r="J267" s="16"/>
    </row>
    <row r="268" spans="7:10" x14ac:dyDescent="0.2">
      <c r="G268" s="16"/>
      <c r="H268" s="16"/>
      <c r="I268" s="22"/>
      <c r="J268" s="16"/>
    </row>
    <row r="269" spans="7:10" x14ac:dyDescent="0.2">
      <c r="G269" s="16"/>
      <c r="H269" s="16"/>
      <c r="I269" s="22"/>
      <c r="J269" s="16"/>
    </row>
    <row r="270" spans="7:10" x14ac:dyDescent="0.2">
      <c r="G270" s="16"/>
      <c r="H270" s="16"/>
      <c r="I270" s="22"/>
      <c r="J270" s="16"/>
    </row>
    <row r="271" spans="7:10" x14ac:dyDescent="0.2">
      <c r="G271" s="16"/>
      <c r="H271" s="16"/>
      <c r="I271" s="22"/>
      <c r="J271" s="16"/>
    </row>
    <row r="272" spans="7:10" x14ac:dyDescent="0.2">
      <c r="G272" s="16"/>
      <c r="H272" s="16"/>
      <c r="I272" s="22"/>
      <c r="J272" s="16"/>
    </row>
    <row r="273" spans="7:10" x14ac:dyDescent="0.2">
      <c r="G273" s="16"/>
      <c r="H273" s="16"/>
      <c r="I273" s="22"/>
      <c r="J273" s="16"/>
    </row>
    <row r="274" spans="7:10" x14ac:dyDescent="0.2">
      <c r="G274" s="16"/>
      <c r="H274" s="16"/>
      <c r="I274" s="22"/>
      <c r="J274" s="16"/>
    </row>
    <row r="275" spans="7:10" x14ac:dyDescent="0.2">
      <c r="G275" s="16"/>
      <c r="H275" s="16"/>
      <c r="I275" s="22"/>
      <c r="J275" s="16"/>
    </row>
    <row r="276" spans="7:10" x14ac:dyDescent="0.2">
      <c r="G276" s="16"/>
      <c r="H276" s="16"/>
      <c r="I276" s="22"/>
      <c r="J276" s="16"/>
    </row>
    <row r="277" spans="7:10" x14ac:dyDescent="0.2">
      <c r="G277" s="16"/>
      <c r="H277" s="16"/>
      <c r="I277" s="22"/>
      <c r="J277" s="16"/>
    </row>
    <row r="278" spans="7:10" x14ac:dyDescent="0.2">
      <c r="G278" s="16"/>
      <c r="H278" s="16"/>
      <c r="I278" s="22"/>
      <c r="J278" s="16"/>
    </row>
    <row r="279" spans="7:10" x14ac:dyDescent="0.2">
      <c r="G279" s="16"/>
      <c r="H279" s="16"/>
      <c r="I279" s="22"/>
      <c r="J279" s="16"/>
    </row>
    <row r="280" spans="7:10" x14ac:dyDescent="0.2">
      <c r="G280" s="16"/>
      <c r="H280" s="16"/>
      <c r="I280" s="22"/>
      <c r="J280" s="16"/>
    </row>
    <row r="281" spans="7:10" x14ac:dyDescent="0.2">
      <c r="G281" s="16"/>
      <c r="H281" s="16"/>
      <c r="I281" s="22"/>
      <c r="J281" s="16"/>
    </row>
    <row r="282" spans="7:10" x14ac:dyDescent="0.2">
      <c r="G282" s="16"/>
      <c r="H282" s="16"/>
      <c r="I282" s="22"/>
      <c r="J282" s="16"/>
    </row>
    <row r="283" spans="7:10" x14ac:dyDescent="0.2">
      <c r="G283" s="16"/>
      <c r="H283" s="16"/>
      <c r="I283" s="22"/>
      <c r="J283" s="16"/>
    </row>
    <row r="284" spans="7:10" x14ac:dyDescent="0.2">
      <c r="G284" s="16"/>
      <c r="H284" s="16"/>
      <c r="I284" s="22"/>
      <c r="J284" s="16"/>
    </row>
    <row r="285" spans="7:10" x14ac:dyDescent="0.2">
      <c r="G285" s="16"/>
      <c r="H285" s="16"/>
      <c r="I285" s="22"/>
      <c r="J285" s="16"/>
    </row>
    <row r="286" spans="7:10" x14ac:dyDescent="0.2">
      <c r="G286" s="16"/>
      <c r="H286" s="16"/>
      <c r="I286" s="22"/>
      <c r="J286" s="16"/>
    </row>
    <row r="287" spans="7:10" x14ac:dyDescent="0.2">
      <c r="G287" s="16"/>
      <c r="H287" s="16"/>
      <c r="I287" s="22"/>
      <c r="J287" s="16"/>
    </row>
    <row r="288" spans="7:10" x14ac:dyDescent="0.2">
      <c r="G288" s="16"/>
      <c r="H288" s="16"/>
      <c r="I288" s="22"/>
      <c r="J288" s="16"/>
    </row>
    <row r="289" spans="7:10" x14ac:dyDescent="0.2">
      <c r="G289" s="16"/>
      <c r="H289" s="16"/>
      <c r="I289" s="22"/>
      <c r="J289" s="16"/>
    </row>
    <row r="290" spans="7:10" x14ac:dyDescent="0.2">
      <c r="G290" s="16"/>
      <c r="H290" s="16"/>
      <c r="I290" s="22"/>
      <c r="J290" s="16"/>
    </row>
    <row r="291" spans="7:10" x14ac:dyDescent="0.2">
      <c r="G291" s="16"/>
      <c r="H291" s="16"/>
      <c r="I291" s="22"/>
      <c r="J291" s="16"/>
    </row>
    <row r="292" spans="7:10" x14ac:dyDescent="0.2">
      <c r="G292" s="16"/>
      <c r="H292" s="16"/>
      <c r="I292" s="22"/>
      <c r="J292" s="16"/>
    </row>
    <row r="293" spans="7:10" x14ac:dyDescent="0.2">
      <c r="G293" s="16"/>
      <c r="H293" s="16"/>
      <c r="I293" s="22"/>
      <c r="J293" s="16"/>
    </row>
    <row r="294" spans="7:10" x14ac:dyDescent="0.2">
      <c r="G294" s="16"/>
      <c r="H294" s="16"/>
      <c r="I294" s="22"/>
      <c r="J294" s="16"/>
    </row>
    <row r="295" spans="7:10" x14ac:dyDescent="0.2">
      <c r="G295" s="16"/>
      <c r="H295" s="16"/>
      <c r="I295" s="22"/>
      <c r="J295" s="16"/>
    </row>
    <row r="296" spans="7:10" x14ac:dyDescent="0.2">
      <c r="G296" s="16"/>
      <c r="H296" s="16"/>
      <c r="I296" s="22"/>
      <c r="J296" s="16"/>
    </row>
    <row r="297" spans="7:10" x14ac:dyDescent="0.2">
      <c r="G297" s="16"/>
      <c r="H297" s="16"/>
      <c r="I297" s="22"/>
      <c r="J297" s="16"/>
    </row>
    <row r="298" spans="7:10" x14ac:dyDescent="0.2">
      <c r="G298" s="16"/>
      <c r="H298" s="16"/>
      <c r="I298" s="22"/>
      <c r="J298" s="16"/>
    </row>
    <row r="299" spans="7:10" x14ac:dyDescent="0.2">
      <c r="G299" s="16"/>
      <c r="H299" s="16"/>
      <c r="I299" s="22"/>
      <c r="J299" s="16"/>
    </row>
    <row r="300" spans="7:10" x14ac:dyDescent="0.2">
      <c r="G300" s="16"/>
      <c r="H300" s="16"/>
      <c r="I300" s="22"/>
      <c r="J300" s="16"/>
    </row>
    <row r="301" spans="7:10" x14ac:dyDescent="0.2">
      <c r="G301" s="16"/>
      <c r="H301" s="16"/>
      <c r="I301" s="22"/>
      <c r="J301" s="16"/>
    </row>
    <row r="302" spans="7:10" x14ac:dyDescent="0.2">
      <c r="G302" s="16"/>
      <c r="H302" s="16"/>
      <c r="I302" s="22"/>
      <c r="J302" s="16"/>
    </row>
    <row r="303" spans="7:10" x14ac:dyDescent="0.2">
      <c r="G303" s="16"/>
      <c r="H303" s="16"/>
      <c r="I303" s="22"/>
      <c r="J303" s="16"/>
    </row>
    <row r="304" spans="7:10" x14ac:dyDescent="0.2">
      <c r="G304" s="16"/>
      <c r="H304" s="16"/>
      <c r="I304" s="22"/>
      <c r="J304" s="16"/>
    </row>
    <row r="305" spans="7:10" x14ac:dyDescent="0.2">
      <c r="G305" s="16"/>
      <c r="H305" s="16"/>
      <c r="I305" s="22"/>
      <c r="J305" s="16"/>
    </row>
    <row r="306" spans="7:10" x14ac:dyDescent="0.2">
      <c r="G306" s="16"/>
      <c r="H306" s="16"/>
      <c r="I306" s="22"/>
      <c r="J306" s="16"/>
    </row>
    <row r="307" spans="7:10" x14ac:dyDescent="0.2">
      <c r="G307" s="16"/>
      <c r="H307" s="16"/>
      <c r="I307" s="22"/>
      <c r="J307" s="16"/>
    </row>
    <row r="308" spans="7:10" x14ac:dyDescent="0.2">
      <c r="G308" s="16"/>
      <c r="H308" s="16"/>
      <c r="I308" s="22"/>
      <c r="J308" s="16"/>
    </row>
    <row r="309" spans="7:10" x14ac:dyDescent="0.2">
      <c r="G309" s="16"/>
      <c r="H309" s="16"/>
      <c r="I309" s="22"/>
      <c r="J309" s="16"/>
    </row>
    <row r="310" spans="7:10" x14ac:dyDescent="0.2">
      <c r="G310" s="16"/>
      <c r="H310" s="16"/>
      <c r="I310" s="22"/>
      <c r="J310" s="16"/>
    </row>
    <row r="311" spans="7:10" x14ac:dyDescent="0.2">
      <c r="G311" s="16"/>
      <c r="H311" s="16"/>
      <c r="I311" s="22"/>
      <c r="J311" s="16"/>
    </row>
    <row r="312" spans="7:10" x14ac:dyDescent="0.2">
      <c r="G312" s="16"/>
      <c r="H312" s="16"/>
      <c r="I312" s="22"/>
      <c r="J312" s="16"/>
    </row>
    <row r="313" spans="7:10" x14ac:dyDescent="0.2">
      <c r="G313" s="16"/>
      <c r="H313" s="16"/>
      <c r="I313" s="22"/>
      <c r="J313" s="16"/>
    </row>
    <row r="314" spans="7:10" x14ac:dyDescent="0.2">
      <c r="G314" s="16"/>
      <c r="H314" s="16"/>
      <c r="I314" s="22"/>
      <c r="J314" s="16"/>
    </row>
    <row r="315" spans="7:10" x14ac:dyDescent="0.2">
      <c r="G315" s="16"/>
      <c r="H315" s="16"/>
      <c r="I315" s="22"/>
      <c r="J315" s="16"/>
    </row>
    <row r="316" spans="7:10" x14ac:dyDescent="0.2">
      <c r="G316" s="16"/>
      <c r="H316" s="16"/>
      <c r="I316" s="22"/>
      <c r="J316" s="16"/>
    </row>
    <row r="317" spans="7:10" x14ac:dyDescent="0.2">
      <c r="G317" s="16"/>
      <c r="H317" s="16"/>
      <c r="I317" s="22"/>
      <c r="J317" s="16"/>
    </row>
    <row r="318" spans="7:10" x14ac:dyDescent="0.2">
      <c r="G318" s="16"/>
      <c r="H318" s="16"/>
      <c r="I318" s="22"/>
      <c r="J318" s="16"/>
    </row>
    <row r="319" spans="7:10" x14ac:dyDescent="0.2">
      <c r="G319" s="16"/>
      <c r="H319" s="16"/>
      <c r="I319" s="22"/>
      <c r="J319" s="16"/>
    </row>
    <row r="320" spans="7:10" x14ac:dyDescent="0.2">
      <c r="G320" s="16"/>
      <c r="H320" s="16"/>
      <c r="I320" s="22"/>
      <c r="J320" s="16"/>
    </row>
    <row r="321" spans="7:10" x14ac:dyDescent="0.2">
      <c r="G321" s="16"/>
      <c r="H321" s="16"/>
      <c r="I321" s="22"/>
      <c r="J321" s="16"/>
    </row>
    <row r="322" spans="7:10" x14ac:dyDescent="0.2">
      <c r="G322" s="16"/>
      <c r="H322" s="16"/>
      <c r="I322" s="22"/>
      <c r="J322" s="16"/>
    </row>
    <row r="323" spans="7:10" x14ac:dyDescent="0.2">
      <c r="G323" s="16"/>
      <c r="H323" s="16"/>
      <c r="I323" s="22"/>
      <c r="J323" s="16"/>
    </row>
    <row r="324" spans="7:10" x14ac:dyDescent="0.2">
      <c r="G324" s="16"/>
      <c r="H324" s="16"/>
      <c r="I324" s="22"/>
      <c r="J324" s="16"/>
    </row>
    <row r="325" spans="7:10" x14ac:dyDescent="0.2">
      <c r="G325" s="16"/>
      <c r="H325" s="16"/>
      <c r="I325" s="22"/>
      <c r="J325" s="16"/>
    </row>
    <row r="326" spans="7:10" x14ac:dyDescent="0.2">
      <c r="G326" s="16"/>
      <c r="H326" s="16"/>
      <c r="I326" s="22"/>
      <c r="J326" s="16"/>
    </row>
    <row r="327" spans="7:10" x14ac:dyDescent="0.2">
      <c r="G327" s="16"/>
      <c r="H327" s="16"/>
      <c r="I327" s="22"/>
      <c r="J327" s="16"/>
    </row>
    <row r="328" spans="7:10" x14ac:dyDescent="0.2">
      <c r="G328" s="16"/>
      <c r="H328" s="16"/>
      <c r="I328" s="22"/>
      <c r="J328" s="16"/>
    </row>
    <row r="329" spans="7:10" x14ac:dyDescent="0.2">
      <c r="G329" s="16"/>
      <c r="H329" s="16"/>
      <c r="I329" s="22"/>
      <c r="J329" s="16"/>
    </row>
    <row r="330" spans="7:10" x14ac:dyDescent="0.2">
      <c r="G330" s="16"/>
      <c r="H330" s="16"/>
      <c r="I330" s="22"/>
      <c r="J330" s="16"/>
    </row>
    <row r="331" spans="7:10" x14ac:dyDescent="0.2">
      <c r="G331" s="16"/>
      <c r="H331" s="16"/>
      <c r="I331" s="22"/>
    </row>
    <row r="332" spans="7:10" x14ac:dyDescent="0.2">
      <c r="G332" s="16"/>
      <c r="H332" s="16"/>
      <c r="I332" s="22"/>
    </row>
    <row r="333" spans="7:10" x14ac:dyDescent="0.2">
      <c r="G333" s="16"/>
      <c r="H333" s="16"/>
      <c r="I333" s="22"/>
    </row>
    <row r="334" spans="7:10" x14ac:dyDescent="0.2">
      <c r="G334" s="16"/>
      <c r="H334" s="16"/>
      <c r="I334" s="22"/>
    </row>
  </sheetData>
  <pageMargins left="0.78740157480314965" right="0.78740157480314965" top="0.98425196850393704" bottom="0.98425196850393704" header="0.51181102362204722" footer="0.51181102362204722"/>
  <pageSetup paperSize="9" scale="70" orientation="landscape"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pageSetUpPr fitToPage="1"/>
  </sheetPr>
  <dimension ref="A1:AC113"/>
  <sheetViews>
    <sheetView zoomScale="85" zoomScaleNormal="85" workbookViewId="0">
      <selection activeCell="B55" sqref="B55"/>
    </sheetView>
  </sheetViews>
  <sheetFormatPr baseColWidth="10" defaultColWidth="11.44140625" defaultRowHeight="13.2" x14ac:dyDescent="0.25"/>
  <cols>
    <col min="1" max="1" width="39.109375" customWidth="1"/>
    <col min="2" max="2" width="19.88671875" style="4" customWidth="1"/>
    <col min="3" max="3" width="7" customWidth="1"/>
    <col min="4" max="4" width="15.33203125" style="43" customWidth="1"/>
    <col min="5" max="5" width="16.5546875" style="44" customWidth="1"/>
    <col min="6" max="6" width="11.5546875" style="43" customWidth="1"/>
    <col min="7" max="7" width="14.109375" style="43" customWidth="1"/>
    <col min="8" max="8" width="12.33203125" style="44" customWidth="1"/>
    <col min="9" max="9" width="10.6640625" style="43" customWidth="1"/>
    <col min="10" max="10" width="9.33203125" style="43" customWidth="1"/>
    <col min="11" max="11" width="14.6640625" style="43" customWidth="1"/>
    <col min="12" max="12" width="13.33203125" style="43" customWidth="1"/>
    <col min="13" max="13" width="10.5546875" style="43" customWidth="1"/>
    <col min="14" max="14" width="4.88671875" style="43" customWidth="1"/>
    <col min="15" max="15" width="13.44140625" style="43" customWidth="1"/>
    <col min="16" max="16" width="13.109375" style="43" customWidth="1"/>
    <col min="17" max="17" width="11.109375" style="43" customWidth="1"/>
    <col min="18" max="18" width="9.5546875" style="43" customWidth="1"/>
    <col min="19" max="19" width="11.88671875" style="43" customWidth="1"/>
    <col min="20" max="20" width="13.5546875" style="43" customWidth="1"/>
    <col min="21" max="21" width="3.109375" style="43" customWidth="1"/>
    <col min="22" max="22" width="13.109375" style="43" customWidth="1"/>
    <col min="23" max="23" width="3.88671875" style="43" customWidth="1"/>
    <col min="24" max="24" width="13.109375" style="43" customWidth="1"/>
    <col min="25" max="25" width="3.88671875" style="43" customWidth="1"/>
    <col min="26" max="26" width="20" customWidth="1"/>
  </cols>
  <sheetData>
    <row r="1" spans="1:26" ht="17.399999999999999" x14ac:dyDescent="0.3">
      <c r="B1" s="7" t="s">
        <v>78</v>
      </c>
    </row>
    <row r="2" spans="1:26" x14ac:dyDescent="0.25">
      <c r="B2" s="71" t="s">
        <v>81</v>
      </c>
      <c r="D2" s="45"/>
      <c r="E2" s="46"/>
      <c r="F2" s="45"/>
      <c r="G2" s="45"/>
      <c r="H2" s="46"/>
      <c r="I2" s="45"/>
      <c r="J2" s="45"/>
      <c r="K2" s="45"/>
      <c r="L2" s="45"/>
      <c r="M2" s="45"/>
      <c r="N2" s="45"/>
      <c r="S2" s="45"/>
      <c r="V2" s="45"/>
      <c r="W2" s="45"/>
      <c r="X2" s="45"/>
      <c r="Y2" s="45"/>
    </row>
    <row r="3" spans="1:26" x14ac:dyDescent="0.25">
      <c r="A3" s="71"/>
      <c r="B3" s="6"/>
      <c r="D3" s="70"/>
      <c r="E3" s="46"/>
      <c r="F3" s="45"/>
      <c r="G3" s="45"/>
      <c r="H3" s="46"/>
      <c r="I3" s="45"/>
      <c r="J3" s="45"/>
      <c r="K3" s="45"/>
      <c r="L3" s="45"/>
      <c r="M3" s="45"/>
      <c r="N3" s="45"/>
      <c r="O3" s="45" t="s">
        <v>69</v>
      </c>
      <c r="P3" s="45" t="s">
        <v>226</v>
      </c>
      <c r="Q3" s="124" t="s">
        <v>227</v>
      </c>
      <c r="R3" s="124" t="s">
        <v>224</v>
      </c>
      <c r="S3" s="124"/>
      <c r="T3" s="45"/>
      <c r="U3" s="45"/>
      <c r="V3" s="48" t="s">
        <v>51</v>
      </c>
      <c r="W3" s="45"/>
      <c r="X3" s="48" t="s">
        <v>51</v>
      </c>
      <c r="Y3" s="45"/>
    </row>
    <row r="4" spans="1:26" x14ac:dyDescent="0.25">
      <c r="A4" s="31" t="s">
        <v>0</v>
      </c>
      <c r="B4" s="32" t="s">
        <v>2</v>
      </c>
      <c r="D4" s="47" t="s">
        <v>36</v>
      </c>
      <c r="E4" s="47" t="s">
        <v>66</v>
      </c>
      <c r="F4" s="47" t="s">
        <v>37</v>
      </c>
      <c r="G4" s="47" t="s">
        <v>38</v>
      </c>
      <c r="H4" s="47" t="s">
        <v>65</v>
      </c>
      <c r="I4" s="47" t="s">
        <v>39</v>
      </c>
      <c r="J4" s="47" t="s">
        <v>67</v>
      </c>
      <c r="K4" s="47" t="s">
        <v>43</v>
      </c>
      <c r="L4" s="47" t="s">
        <v>40</v>
      </c>
      <c r="M4" s="47" t="s">
        <v>41</v>
      </c>
      <c r="N4" s="47"/>
      <c r="O4" s="47" t="s">
        <v>70</v>
      </c>
      <c r="P4" s="47" t="s">
        <v>68</v>
      </c>
      <c r="Q4" s="125" t="s">
        <v>225</v>
      </c>
      <c r="R4" s="125" t="s">
        <v>225</v>
      </c>
      <c r="S4" s="125" t="s">
        <v>60</v>
      </c>
      <c r="T4" s="47"/>
      <c r="U4" s="47"/>
      <c r="V4" s="48" t="s">
        <v>70</v>
      </c>
      <c r="W4" s="47"/>
      <c r="X4" s="48" t="s">
        <v>82</v>
      </c>
      <c r="Y4" s="47"/>
    </row>
    <row r="5" spans="1:26" x14ac:dyDescent="0.25">
      <c r="A5" s="31"/>
      <c r="B5" s="32"/>
      <c r="D5" s="70" t="s">
        <v>84</v>
      </c>
      <c r="E5" s="47"/>
      <c r="F5" s="47"/>
      <c r="G5" s="47"/>
      <c r="H5" s="47"/>
      <c r="I5" s="47"/>
      <c r="J5" s="47"/>
      <c r="K5" s="47"/>
      <c r="L5" s="47"/>
      <c r="M5" s="47"/>
      <c r="N5" s="47"/>
      <c r="O5" s="47"/>
      <c r="P5" s="47"/>
      <c r="Q5" s="125"/>
      <c r="R5" s="125"/>
      <c r="S5" s="125"/>
      <c r="T5" s="47"/>
      <c r="U5" s="47"/>
      <c r="V5" s="48"/>
      <c r="W5" s="47"/>
      <c r="X5" s="48"/>
      <c r="Y5" s="47"/>
    </row>
    <row r="6" spans="1:26" s="10" customFormat="1" ht="12" customHeight="1" x14ac:dyDescent="0.25">
      <c r="A6" s="31"/>
      <c r="B6" s="32"/>
      <c r="D6" s="49"/>
      <c r="E6" s="49"/>
      <c r="F6" s="49"/>
      <c r="G6" s="49"/>
      <c r="H6" s="49"/>
      <c r="I6" s="49"/>
      <c r="J6" s="49"/>
      <c r="K6" s="49"/>
      <c r="L6" s="49"/>
      <c r="M6" s="49"/>
      <c r="N6" s="49"/>
      <c r="O6" s="49"/>
      <c r="P6" s="49"/>
      <c r="Q6" s="126"/>
      <c r="R6" s="126"/>
      <c r="S6" s="126"/>
      <c r="T6" s="49"/>
      <c r="U6" s="49"/>
      <c r="V6" s="50"/>
      <c r="W6" s="49"/>
      <c r="X6" s="50"/>
      <c r="Y6" s="49"/>
    </row>
    <row r="7" spans="1:26" x14ac:dyDescent="0.25">
      <c r="A7" s="11" t="s">
        <v>3</v>
      </c>
      <c r="B7" s="33">
        <v>0.75</v>
      </c>
      <c r="D7" s="51">
        <f>37330*1.03</f>
        <v>38449.9</v>
      </c>
      <c r="E7" s="52">
        <v>318</v>
      </c>
      <c r="F7" s="51"/>
      <c r="G7" s="51"/>
      <c r="H7" s="52"/>
      <c r="I7" s="53">
        <v>5561</v>
      </c>
      <c r="J7" s="53"/>
      <c r="K7" s="53"/>
      <c r="L7" s="51">
        <f>SUM(D7:K7)*0.12</f>
        <v>5319.4679999999998</v>
      </c>
      <c r="M7" s="51">
        <f>SUM(D7:L7)*0.141</f>
        <v>7000.4198879999994</v>
      </c>
      <c r="N7" s="53"/>
      <c r="O7" s="51">
        <f>SUM(D7:N7)</f>
        <v>56648.787887999999</v>
      </c>
      <c r="P7" s="51">
        <f>+O7*B7</f>
        <v>42486.590916000001</v>
      </c>
      <c r="Q7" s="127">
        <f>+P7/1.141</f>
        <v>37236.275999999998</v>
      </c>
      <c r="R7" s="127">
        <f>+P7-Q7</f>
        <v>5250.314916000003</v>
      </c>
      <c r="S7" s="127">
        <f>+D7*0.06</f>
        <v>2306.9940000000001</v>
      </c>
      <c r="T7" s="53"/>
      <c r="U7" s="53"/>
      <c r="V7" s="54">
        <f t="shared" ref="V7:V24" si="0">+P7+S7+T7</f>
        <v>44793.584916</v>
      </c>
      <c r="W7" s="53"/>
      <c r="X7" s="54">
        <f t="shared" ref="X7:X24" si="1">+V7*$S$59</f>
        <v>89587.169832</v>
      </c>
      <c r="Y7" s="53"/>
    </row>
    <row r="8" spans="1:26" x14ac:dyDescent="0.25">
      <c r="A8" s="11" t="s">
        <v>4</v>
      </c>
      <c r="B8" s="33">
        <v>0.75</v>
      </c>
      <c r="D8" s="55">
        <f>33278*1.03</f>
        <v>34276.340000000004</v>
      </c>
      <c r="E8" s="52">
        <v>318</v>
      </c>
      <c r="F8" s="55">
        <v>377</v>
      </c>
      <c r="G8" s="55"/>
      <c r="H8" s="56"/>
      <c r="I8" s="55">
        <v>4061</v>
      </c>
      <c r="J8" s="55"/>
      <c r="K8" s="55"/>
      <c r="L8" s="51">
        <f t="shared" ref="L8:L24" si="2">SUM(D8:K8)*0.12</f>
        <v>4683.8807999999999</v>
      </c>
      <c r="M8" s="51">
        <f t="shared" ref="M8:M48" si="3">SUM(D8:L8)*0.141</f>
        <v>6163.9871327999999</v>
      </c>
      <c r="N8" s="53"/>
      <c r="O8" s="51">
        <f t="shared" ref="O8:O24" si="4">SUM(D8:N8)</f>
        <v>49880.207932800004</v>
      </c>
      <c r="P8" s="51">
        <f t="shared" ref="P8:P24" si="5">+O8*B8</f>
        <v>37410.155949600005</v>
      </c>
      <c r="Q8" s="127">
        <f t="shared" ref="Q8:Q24" si="6">+P8/1.141</f>
        <v>32787.1656</v>
      </c>
      <c r="R8" s="127">
        <f t="shared" ref="R8:R23" si="7">+P8-Q8</f>
        <v>4622.9903496000043</v>
      </c>
      <c r="S8" s="127">
        <f t="shared" ref="S8:S24" si="8">+D8*0.06</f>
        <v>2056.5804000000003</v>
      </c>
      <c r="T8" s="53"/>
      <c r="U8" s="53"/>
      <c r="V8" s="54">
        <f t="shared" si="0"/>
        <v>39466.736349600003</v>
      </c>
      <c r="W8" s="53"/>
      <c r="X8" s="54">
        <f t="shared" si="1"/>
        <v>78933.472699200007</v>
      </c>
      <c r="Y8" s="53"/>
    </row>
    <row r="9" spans="1:26" x14ac:dyDescent="0.25">
      <c r="A9" s="11" t="s">
        <v>5</v>
      </c>
      <c r="B9" s="33">
        <v>1</v>
      </c>
      <c r="D9" s="55">
        <f>30064*1.03</f>
        <v>30965.920000000002</v>
      </c>
      <c r="E9" s="52">
        <v>318</v>
      </c>
      <c r="F9" s="55"/>
      <c r="G9" s="55"/>
      <c r="H9" s="56"/>
      <c r="I9" s="55">
        <v>5392</v>
      </c>
      <c r="J9" s="55"/>
      <c r="K9" s="55"/>
      <c r="L9" s="51">
        <f t="shared" si="2"/>
        <v>4401.1103999999996</v>
      </c>
      <c r="M9" s="51">
        <f t="shared" si="3"/>
        <v>5791.8612863999988</v>
      </c>
      <c r="N9" s="53"/>
      <c r="O9" s="51">
        <f t="shared" si="4"/>
        <v>46868.891686399991</v>
      </c>
      <c r="P9" s="51">
        <f t="shared" si="5"/>
        <v>46868.891686399991</v>
      </c>
      <c r="Q9" s="127">
        <f t="shared" si="6"/>
        <v>41077.030399999989</v>
      </c>
      <c r="R9" s="127">
        <f t="shared" si="7"/>
        <v>5791.8612864000024</v>
      </c>
      <c r="S9" s="127">
        <f t="shared" si="8"/>
        <v>1857.9552000000001</v>
      </c>
      <c r="T9" s="53"/>
      <c r="U9" s="53"/>
      <c r="V9" s="54">
        <f t="shared" si="0"/>
        <v>48726.846886399988</v>
      </c>
      <c r="W9" s="53"/>
      <c r="X9" s="54">
        <f t="shared" si="1"/>
        <v>97453.693772799976</v>
      </c>
      <c r="Y9" s="53"/>
      <c r="Z9" s="25" t="s">
        <v>55</v>
      </c>
    </row>
    <row r="10" spans="1:26" x14ac:dyDescent="0.25">
      <c r="A10" s="11" t="s">
        <v>6</v>
      </c>
      <c r="B10" s="33">
        <v>0.75</v>
      </c>
      <c r="D10" s="43">
        <f>30316*1.03</f>
        <v>31225.48</v>
      </c>
      <c r="E10" s="52">
        <v>318</v>
      </c>
      <c r="F10" s="43">
        <v>3276</v>
      </c>
      <c r="I10" s="43">
        <v>5744</v>
      </c>
      <c r="L10" s="51">
        <f t="shared" si="2"/>
        <v>4867.6175999999996</v>
      </c>
      <c r="M10" s="51">
        <f t="shared" si="3"/>
        <v>6405.7847615999981</v>
      </c>
      <c r="N10" s="53"/>
      <c r="O10" s="51">
        <f t="shared" si="4"/>
        <v>51836.882361599994</v>
      </c>
      <c r="P10" s="51">
        <f t="shared" si="5"/>
        <v>38877.661771199993</v>
      </c>
      <c r="Q10" s="127">
        <f t="shared" si="6"/>
        <v>34073.323199999992</v>
      </c>
      <c r="R10" s="127">
        <f t="shared" si="7"/>
        <v>4804.3385712000018</v>
      </c>
      <c r="S10" s="127">
        <f t="shared" si="8"/>
        <v>1873.5287999999998</v>
      </c>
      <c r="T10" s="53"/>
      <c r="U10" s="53"/>
      <c r="V10" s="54">
        <f t="shared" si="0"/>
        <v>40751.190571199993</v>
      </c>
      <c r="W10" s="53"/>
      <c r="X10" s="54">
        <f t="shared" si="1"/>
        <v>81502.381142399987</v>
      </c>
      <c r="Y10" s="53"/>
      <c r="Z10" s="24" t="s">
        <v>56</v>
      </c>
    </row>
    <row r="11" spans="1:26" x14ac:dyDescent="0.25">
      <c r="A11" s="11" t="s">
        <v>7</v>
      </c>
      <c r="B11" s="33">
        <v>1</v>
      </c>
      <c r="D11" s="43">
        <f>31148*1.03</f>
        <v>32082.440000000002</v>
      </c>
      <c r="E11" s="52">
        <v>318</v>
      </c>
      <c r="I11" s="43">
        <v>5317</v>
      </c>
      <c r="L11" s="51">
        <f t="shared" si="2"/>
        <v>4526.0928000000004</v>
      </c>
      <c r="M11" s="51">
        <f t="shared" si="3"/>
        <v>5956.3381247999996</v>
      </c>
      <c r="N11" s="53"/>
      <c r="O11" s="51">
        <f t="shared" si="4"/>
        <v>48199.870924800001</v>
      </c>
      <c r="P11" s="51">
        <f t="shared" si="5"/>
        <v>48199.870924800001</v>
      </c>
      <c r="Q11" s="127">
        <f t="shared" si="6"/>
        <v>42243.532800000001</v>
      </c>
      <c r="R11" s="127">
        <f t="shared" si="7"/>
        <v>5956.3381248000005</v>
      </c>
      <c r="S11" s="127">
        <f t="shared" si="8"/>
        <v>1924.9464</v>
      </c>
      <c r="T11" s="53"/>
      <c r="U11" s="53"/>
      <c r="V11" s="54">
        <f t="shared" si="0"/>
        <v>50124.817324800002</v>
      </c>
      <c r="W11" s="53"/>
      <c r="X11" s="54">
        <f t="shared" si="1"/>
        <v>100249.6346496</v>
      </c>
      <c r="Y11" s="53"/>
      <c r="Z11" s="25" t="s">
        <v>57</v>
      </c>
    </row>
    <row r="12" spans="1:26" x14ac:dyDescent="0.25">
      <c r="A12" s="11" t="s">
        <v>8</v>
      </c>
      <c r="B12" s="33">
        <v>0.75</v>
      </c>
      <c r="D12" s="43">
        <f>32943*1.03</f>
        <v>33931.29</v>
      </c>
      <c r="E12" s="52">
        <v>318</v>
      </c>
      <c r="F12" s="43">
        <v>747</v>
      </c>
      <c r="I12" s="43">
        <v>5561</v>
      </c>
      <c r="L12" s="51">
        <f t="shared" si="2"/>
        <v>4866.8747999999996</v>
      </c>
      <c r="M12" s="51">
        <f t="shared" si="3"/>
        <v>6404.8072367999994</v>
      </c>
      <c r="N12" s="53"/>
      <c r="O12" s="51">
        <f t="shared" si="4"/>
        <v>51828.972036799998</v>
      </c>
      <c r="P12" s="51">
        <f t="shared" si="5"/>
        <v>38871.729027599999</v>
      </c>
      <c r="Q12" s="127">
        <f t="shared" si="6"/>
        <v>34068.123599999999</v>
      </c>
      <c r="R12" s="127">
        <f t="shared" si="7"/>
        <v>4803.6054275999995</v>
      </c>
      <c r="S12" s="127">
        <f t="shared" si="8"/>
        <v>2035.8774000000001</v>
      </c>
      <c r="T12" s="53"/>
      <c r="U12" s="53"/>
      <c r="V12" s="54">
        <f t="shared" si="0"/>
        <v>40907.606427599996</v>
      </c>
      <c r="W12" s="53"/>
      <c r="X12" s="54">
        <f t="shared" si="1"/>
        <v>81815.212855199992</v>
      </c>
      <c r="Y12" s="53"/>
      <c r="Z12" s="23" t="s">
        <v>58</v>
      </c>
    </row>
    <row r="13" spans="1:26" x14ac:dyDescent="0.25">
      <c r="A13" s="11" t="s">
        <v>13</v>
      </c>
      <c r="B13" s="33">
        <v>0.25</v>
      </c>
      <c r="D13" s="43">
        <f>33421*1.03</f>
        <v>34423.629999999997</v>
      </c>
      <c r="E13" s="52">
        <v>318</v>
      </c>
      <c r="I13" s="43">
        <v>5583</v>
      </c>
      <c r="L13" s="51">
        <f t="shared" si="2"/>
        <v>4838.9555999999993</v>
      </c>
      <c r="M13" s="51">
        <f t="shared" si="3"/>
        <v>6368.0655695999994</v>
      </c>
      <c r="N13" s="53"/>
      <c r="O13" s="51">
        <f t="shared" si="4"/>
        <v>51531.651169599994</v>
      </c>
      <c r="P13" s="51">
        <f t="shared" si="5"/>
        <v>12882.912792399999</v>
      </c>
      <c r="Q13" s="127">
        <f t="shared" si="6"/>
        <v>11290.896399999998</v>
      </c>
      <c r="R13" s="127">
        <f t="shared" si="7"/>
        <v>1592.0163924000008</v>
      </c>
      <c r="S13" s="127">
        <f t="shared" si="8"/>
        <v>2065.4177999999997</v>
      </c>
      <c r="T13" s="53"/>
      <c r="U13" s="53"/>
      <c r="V13" s="54">
        <f t="shared" si="0"/>
        <v>14948.330592399998</v>
      </c>
      <c r="W13" s="53"/>
      <c r="X13" s="54">
        <f t="shared" si="1"/>
        <v>29896.661184799996</v>
      </c>
      <c r="Y13" s="53"/>
      <c r="Z13" s="10"/>
    </row>
    <row r="14" spans="1:26" x14ac:dyDescent="0.25">
      <c r="A14" s="11" t="s">
        <v>14</v>
      </c>
      <c r="B14" s="33">
        <v>0.25</v>
      </c>
      <c r="D14" s="43">
        <f>33696*1.03</f>
        <v>34706.879999999997</v>
      </c>
      <c r="E14" s="52">
        <v>318</v>
      </c>
      <c r="F14" s="43">
        <v>764</v>
      </c>
      <c r="I14" s="43">
        <v>10061</v>
      </c>
      <c r="L14" s="51">
        <f t="shared" si="2"/>
        <v>5501.9855999999991</v>
      </c>
      <c r="M14" s="51">
        <f t="shared" si="3"/>
        <v>7240.6130495999987</v>
      </c>
      <c r="N14" s="53"/>
      <c r="O14" s="51">
        <f t="shared" si="4"/>
        <v>58592.478649599994</v>
      </c>
      <c r="P14" s="51">
        <f t="shared" si="5"/>
        <v>14648.119662399999</v>
      </c>
      <c r="Q14" s="127">
        <f t="shared" si="6"/>
        <v>12837.966399999999</v>
      </c>
      <c r="R14" s="127">
        <f t="shared" si="7"/>
        <v>1810.1532623999992</v>
      </c>
      <c r="S14" s="127">
        <f t="shared" si="8"/>
        <v>2082.4127999999996</v>
      </c>
      <c r="T14" s="53"/>
      <c r="U14" s="53"/>
      <c r="V14" s="54">
        <f t="shared" si="0"/>
        <v>16730.532462399999</v>
      </c>
      <c r="W14" s="53"/>
      <c r="X14" s="54">
        <f t="shared" si="1"/>
        <v>33461.064924799997</v>
      </c>
      <c r="Y14" s="53"/>
    </row>
    <row r="15" spans="1:26" x14ac:dyDescent="0.25">
      <c r="A15" s="11" t="s">
        <v>18</v>
      </c>
      <c r="B15" s="33">
        <v>0.25</v>
      </c>
      <c r="D15" s="43">
        <f>34653*1.03</f>
        <v>35692.590000000004</v>
      </c>
      <c r="E15" s="52">
        <v>318</v>
      </c>
      <c r="I15" s="43">
        <v>4349</v>
      </c>
      <c r="L15" s="51">
        <f t="shared" si="2"/>
        <v>4843.1508000000003</v>
      </c>
      <c r="M15" s="51">
        <f t="shared" si="3"/>
        <v>6373.5864528000002</v>
      </c>
      <c r="N15" s="53"/>
      <c r="O15" s="51">
        <f t="shared" si="4"/>
        <v>51576.327252800009</v>
      </c>
      <c r="P15" s="51">
        <f t="shared" si="5"/>
        <v>12894.081813200002</v>
      </c>
      <c r="Q15" s="127">
        <f t="shared" si="6"/>
        <v>11300.685200000002</v>
      </c>
      <c r="R15" s="127">
        <f t="shared" si="7"/>
        <v>1593.3966132000005</v>
      </c>
      <c r="S15" s="127">
        <f t="shared" si="8"/>
        <v>2141.5554000000002</v>
      </c>
      <c r="T15" s="53"/>
      <c r="U15" s="53"/>
      <c r="V15" s="54">
        <f t="shared" si="0"/>
        <v>15035.637213200003</v>
      </c>
      <c r="W15" s="53"/>
      <c r="X15" s="54">
        <f t="shared" si="1"/>
        <v>30071.274426400007</v>
      </c>
      <c r="Y15" s="53"/>
    </row>
    <row r="16" spans="1:26" x14ac:dyDescent="0.25">
      <c r="A16" s="11" t="s">
        <v>15</v>
      </c>
      <c r="B16" s="33">
        <v>0.25</v>
      </c>
      <c r="D16" s="43">
        <f>35443*1.03</f>
        <v>36506.29</v>
      </c>
      <c r="E16" s="52">
        <v>318</v>
      </c>
      <c r="F16" s="43">
        <v>1607</v>
      </c>
      <c r="I16" s="43">
        <v>3766</v>
      </c>
      <c r="L16" s="51">
        <f t="shared" si="2"/>
        <v>5063.6747999999998</v>
      </c>
      <c r="M16" s="51">
        <f t="shared" si="3"/>
        <v>6663.7960367999995</v>
      </c>
      <c r="N16" s="53"/>
      <c r="O16" s="51">
        <f t="shared" si="4"/>
        <v>53924.7608368</v>
      </c>
      <c r="P16" s="51">
        <f t="shared" si="5"/>
        <v>13481.1902092</v>
      </c>
      <c r="Q16" s="127">
        <f t="shared" si="6"/>
        <v>11815.2412</v>
      </c>
      <c r="R16" s="127">
        <f t="shared" si="7"/>
        <v>1665.9490091999996</v>
      </c>
      <c r="S16" s="127">
        <f t="shared" si="8"/>
        <v>2190.3773999999999</v>
      </c>
      <c r="T16" s="53"/>
      <c r="U16" s="53"/>
      <c r="V16" s="54">
        <f t="shared" si="0"/>
        <v>15671.567609199999</v>
      </c>
      <c r="W16" s="53"/>
      <c r="X16" s="54">
        <f t="shared" si="1"/>
        <v>31343.135218399999</v>
      </c>
      <c r="Y16" s="53"/>
    </row>
    <row r="17" spans="1:25" x14ac:dyDescent="0.25">
      <c r="A17" s="11" t="s">
        <v>16</v>
      </c>
      <c r="B17" s="33">
        <v>0.25</v>
      </c>
      <c r="D17" s="43">
        <f>38247*1.03</f>
        <v>39394.410000000003</v>
      </c>
      <c r="E17" s="52">
        <v>318</v>
      </c>
      <c r="F17" s="43">
        <v>3034</v>
      </c>
      <c r="I17" s="43">
        <v>3416</v>
      </c>
      <c r="L17" s="51">
        <f t="shared" si="2"/>
        <v>5539.4892</v>
      </c>
      <c r="M17" s="51">
        <f t="shared" si="3"/>
        <v>7289.9677871999993</v>
      </c>
      <c r="N17" s="53"/>
      <c r="O17" s="51">
        <f t="shared" si="4"/>
        <v>58991.866987200003</v>
      </c>
      <c r="P17" s="51">
        <f t="shared" si="5"/>
        <v>14747.966746800001</v>
      </c>
      <c r="Q17" s="127">
        <f t="shared" si="6"/>
        <v>12925.4748</v>
      </c>
      <c r="R17" s="127">
        <f t="shared" si="7"/>
        <v>1822.4919468000007</v>
      </c>
      <c r="S17" s="127">
        <f t="shared" si="8"/>
        <v>2363.6646000000001</v>
      </c>
      <c r="T17" s="53"/>
      <c r="U17" s="53"/>
      <c r="V17" s="54">
        <f t="shared" si="0"/>
        <v>17111.631346800001</v>
      </c>
      <c r="W17" s="53"/>
      <c r="X17" s="54">
        <f t="shared" si="1"/>
        <v>34223.262693600002</v>
      </c>
      <c r="Y17" s="53"/>
    </row>
    <row r="18" spans="1:25" x14ac:dyDescent="0.25">
      <c r="A18" s="11" t="s">
        <v>17</v>
      </c>
      <c r="B18" s="33">
        <v>0.25</v>
      </c>
      <c r="D18" s="43">
        <f>34943*1.03</f>
        <v>35991.29</v>
      </c>
      <c r="E18" s="52">
        <v>318</v>
      </c>
      <c r="F18" s="43">
        <v>396</v>
      </c>
      <c r="I18" s="43">
        <v>2952</v>
      </c>
      <c r="L18" s="51">
        <f t="shared" si="2"/>
        <v>4758.8747999999996</v>
      </c>
      <c r="M18" s="51">
        <f t="shared" si="3"/>
        <v>6262.6792367999988</v>
      </c>
      <c r="N18" s="53"/>
      <c r="O18" s="51">
        <f t="shared" si="4"/>
        <v>50678.844036800001</v>
      </c>
      <c r="P18" s="51">
        <f t="shared" si="5"/>
        <v>12669.7110092</v>
      </c>
      <c r="Q18" s="127">
        <f t="shared" si="6"/>
        <v>11104.0412</v>
      </c>
      <c r="R18" s="127">
        <f t="shared" si="7"/>
        <v>1565.6698092000006</v>
      </c>
      <c r="S18" s="127">
        <f t="shared" si="8"/>
        <v>2159.4773999999998</v>
      </c>
      <c r="T18" s="53"/>
      <c r="U18" s="53"/>
      <c r="V18" s="54">
        <f t="shared" si="0"/>
        <v>14829.1884092</v>
      </c>
      <c r="W18" s="53"/>
      <c r="X18" s="54">
        <f t="shared" si="1"/>
        <v>29658.3768184</v>
      </c>
      <c r="Y18" s="53"/>
    </row>
    <row r="19" spans="1:25" x14ac:dyDescent="0.25">
      <c r="A19" s="11" t="s">
        <v>10</v>
      </c>
      <c r="B19" s="33">
        <v>1</v>
      </c>
      <c r="D19" s="43">
        <f>31148*1.03</f>
        <v>32082.440000000002</v>
      </c>
      <c r="E19" s="52">
        <v>318</v>
      </c>
      <c r="F19" s="43">
        <v>8472</v>
      </c>
      <c r="H19" s="44">
        <v>1000</v>
      </c>
      <c r="I19" s="43">
        <v>349</v>
      </c>
      <c r="J19" s="43">
        <v>-280</v>
      </c>
      <c r="L19" s="51">
        <f t="shared" si="2"/>
        <v>5032.9728000000005</v>
      </c>
      <c r="M19" s="51">
        <f t="shared" si="3"/>
        <v>6623.3922048000004</v>
      </c>
      <c r="N19" s="53"/>
      <c r="O19" s="51">
        <f t="shared" si="4"/>
        <v>53597.805004800008</v>
      </c>
      <c r="P19" s="51">
        <f t="shared" si="5"/>
        <v>53597.805004800008</v>
      </c>
      <c r="Q19" s="127">
        <f t="shared" si="6"/>
        <v>46974.412800000006</v>
      </c>
      <c r="R19" s="127">
        <f t="shared" si="7"/>
        <v>6623.3922048000022</v>
      </c>
      <c r="S19" s="127">
        <f t="shared" si="8"/>
        <v>1924.9464</v>
      </c>
      <c r="T19" s="53"/>
      <c r="U19" s="53"/>
      <c r="V19" s="54">
        <f t="shared" si="0"/>
        <v>55522.751404800008</v>
      </c>
      <c r="W19" s="53"/>
      <c r="X19" s="54">
        <f t="shared" si="1"/>
        <v>111045.50280960002</v>
      </c>
      <c r="Y19" s="53"/>
    </row>
    <row r="20" spans="1:25" x14ac:dyDescent="0.25">
      <c r="A20" s="11" t="s">
        <v>11</v>
      </c>
      <c r="B20" s="33">
        <v>1</v>
      </c>
      <c r="D20" s="43">
        <f>33903*1.03</f>
        <v>34920.090000000004</v>
      </c>
      <c r="E20" s="52">
        <v>318</v>
      </c>
      <c r="F20" s="43">
        <v>384</v>
      </c>
      <c r="H20" s="44">
        <v>1000</v>
      </c>
      <c r="I20" s="43">
        <v>13931</v>
      </c>
      <c r="L20" s="51">
        <f t="shared" si="2"/>
        <v>6066.3708000000006</v>
      </c>
      <c r="M20" s="51">
        <f t="shared" si="3"/>
        <v>7983.3439727999994</v>
      </c>
      <c r="N20" s="53"/>
      <c r="O20" s="51">
        <f t="shared" si="4"/>
        <v>64602.804772800002</v>
      </c>
      <c r="P20" s="51">
        <f t="shared" si="5"/>
        <v>64602.804772800002</v>
      </c>
      <c r="Q20" s="127">
        <f t="shared" si="6"/>
        <v>56619.460800000001</v>
      </c>
      <c r="R20" s="127">
        <f t="shared" si="7"/>
        <v>7983.3439728000012</v>
      </c>
      <c r="S20" s="127">
        <f t="shared" si="8"/>
        <v>2095.2054000000003</v>
      </c>
      <c r="T20" s="53"/>
      <c r="U20" s="53"/>
      <c r="V20" s="54">
        <f t="shared" si="0"/>
        <v>66698.010172800001</v>
      </c>
      <c r="W20" s="53"/>
      <c r="X20" s="54">
        <f t="shared" si="1"/>
        <v>133396.0203456</v>
      </c>
      <c r="Y20" s="53"/>
    </row>
    <row r="21" spans="1:25" x14ac:dyDescent="0.25">
      <c r="A21" s="11" t="s">
        <v>12</v>
      </c>
      <c r="B21" s="34"/>
      <c r="D21" s="43">
        <f>34945*1.03</f>
        <v>35993.35</v>
      </c>
      <c r="E21" s="52">
        <v>318</v>
      </c>
      <c r="F21" s="43">
        <v>392</v>
      </c>
      <c r="H21" s="44">
        <v>1000</v>
      </c>
      <c r="I21" s="43">
        <v>6958</v>
      </c>
      <c r="L21" s="51">
        <f t="shared" si="2"/>
        <v>5359.3620000000001</v>
      </c>
      <c r="M21" s="51">
        <f t="shared" si="3"/>
        <v>7052.9203919999991</v>
      </c>
      <c r="N21" s="53"/>
      <c r="O21" s="51">
        <f t="shared" si="4"/>
        <v>57073.632392</v>
      </c>
      <c r="P21" s="51">
        <f t="shared" si="5"/>
        <v>0</v>
      </c>
      <c r="Q21" s="127">
        <f t="shared" si="6"/>
        <v>0</v>
      </c>
      <c r="R21" s="127">
        <f t="shared" si="7"/>
        <v>0</v>
      </c>
      <c r="S21" s="127">
        <f t="shared" si="8"/>
        <v>2159.6009999999997</v>
      </c>
      <c r="T21" s="53"/>
      <c r="U21" s="53"/>
      <c r="V21" s="54">
        <f t="shared" si="0"/>
        <v>2159.6009999999997</v>
      </c>
      <c r="W21" s="53"/>
      <c r="X21" s="54">
        <f t="shared" si="1"/>
        <v>4319.2019999999993</v>
      </c>
      <c r="Y21" s="53"/>
    </row>
    <row r="22" spans="1:25" x14ac:dyDescent="0.25">
      <c r="A22" s="11" t="s">
        <v>19</v>
      </c>
      <c r="B22" s="34">
        <v>0.25</v>
      </c>
      <c r="D22" s="43">
        <f>34267*1.03</f>
        <v>35295.01</v>
      </c>
      <c r="E22" s="52">
        <v>318</v>
      </c>
      <c r="H22" s="44">
        <v>1000</v>
      </c>
      <c r="I22" s="43">
        <v>1684</v>
      </c>
      <c r="L22" s="51">
        <f t="shared" si="2"/>
        <v>4595.6412</v>
      </c>
      <c r="M22" s="51">
        <f t="shared" si="3"/>
        <v>6047.8638191999999</v>
      </c>
      <c r="N22" s="53"/>
      <c r="O22" s="51">
        <f t="shared" si="4"/>
        <v>48940.5150192</v>
      </c>
      <c r="P22" s="51">
        <f t="shared" si="5"/>
        <v>12235.1287548</v>
      </c>
      <c r="Q22" s="127">
        <f t="shared" si="6"/>
        <v>10723.1628</v>
      </c>
      <c r="R22" s="127">
        <f t="shared" si="7"/>
        <v>1511.9659548</v>
      </c>
      <c r="S22" s="127">
        <f t="shared" si="8"/>
        <v>2117.7006000000001</v>
      </c>
      <c r="T22" s="53"/>
      <c r="U22" s="53"/>
      <c r="V22" s="54">
        <f t="shared" si="0"/>
        <v>14352.8293548</v>
      </c>
      <c r="W22" s="53"/>
      <c r="X22" s="54">
        <f t="shared" si="1"/>
        <v>28705.6587096</v>
      </c>
      <c r="Y22" s="53"/>
    </row>
    <row r="23" spans="1:25" x14ac:dyDescent="0.25">
      <c r="A23" s="11" t="s">
        <v>20</v>
      </c>
      <c r="B23" s="34">
        <v>0.25</v>
      </c>
      <c r="D23" s="43">
        <f>41654*1.03</f>
        <v>42903.62</v>
      </c>
      <c r="E23" s="52">
        <v>318</v>
      </c>
      <c r="I23" s="43">
        <v>4330</v>
      </c>
      <c r="J23" s="43">
        <v>-280</v>
      </c>
      <c r="L23" s="51">
        <f t="shared" si="2"/>
        <v>5672.5944</v>
      </c>
      <c r="M23" s="51">
        <f t="shared" si="3"/>
        <v>7465.1342304</v>
      </c>
      <c r="N23" s="53"/>
      <c r="O23" s="51">
        <f t="shared" si="4"/>
        <v>60409.348630400003</v>
      </c>
      <c r="P23" s="51">
        <f t="shared" si="5"/>
        <v>15102.337157600001</v>
      </c>
      <c r="Q23" s="127">
        <f t="shared" si="6"/>
        <v>13236.053600000001</v>
      </c>
      <c r="R23" s="127">
        <f t="shared" si="7"/>
        <v>1866.2835575999998</v>
      </c>
      <c r="S23" s="127">
        <f t="shared" si="8"/>
        <v>2574.2172</v>
      </c>
      <c r="T23" s="53"/>
      <c r="U23" s="53"/>
      <c r="V23" s="54">
        <f t="shared" si="0"/>
        <v>17676.554357600002</v>
      </c>
      <c r="W23" s="53"/>
      <c r="X23" s="54">
        <f t="shared" si="1"/>
        <v>35353.108715200004</v>
      </c>
      <c r="Y23" s="53"/>
    </row>
    <row r="24" spans="1:25" x14ac:dyDescent="0.25">
      <c r="A24" s="11" t="s">
        <v>64</v>
      </c>
      <c r="B24" s="33">
        <v>0.5</v>
      </c>
      <c r="D24" s="43">
        <f>64750*1.03</f>
        <v>66692.5</v>
      </c>
      <c r="E24" s="52"/>
      <c r="L24" s="51">
        <f t="shared" si="2"/>
        <v>8003.0999999999995</v>
      </c>
      <c r="M24" s="51">
        <f>SUM(D24:L24)*0.141</f>
        <v>10532.079599999999</v>
      </c>
      <c r="N24" s="53"/>
      <c r="O24" s="51">
        <f t="shared" si="4"/>
        <v>85227.679600000003</v>
      </c>
      <c r="P24" s="51">
        <f t="shared" si="5"/>
        <v>42613.839800000002</v>
      </c>
      <c r="Q24" s="127">
        <f t="shared" si="6"/>
        <v>37347.800000000003</v>
      </c>
      <c r="R24" s="127">
        <f>+P24-Q24</f>
        <v>5266.0397999999986</v>
      </c>
      <c r="S24" s="127">
        <f t="shared" si="8"/>
        <v>4001.5499999999997</v>
      </c>
      <c r="T24" s="53"/>
      <c r="U24" s="53"/>
      <c r="V24" s="54">
        <f t="shared" si="0"/>
        <v>46615.389800000004</v>
      </c>
      <c r="W24" s="53"/>
      <c r="X24" s="54">
        <f t="shared" si="1"/>
        <v>93230.779600000009</v>
      </c>
      <c r="Y24" s="53"/>
    </row>
    <row r="25" spans="1:25" x14ac:dyDescent="0.25">
      <c r="A25" s="31" t="s">
        <v>59</v>
      </c>
      <c r="B25" s="35">
        <f>SUM(B7:B24)</f>
        <v>9.5</v>
      </c>
      <c r="D25" s="57">
        <f t="shared" ref="D25:L25" si="9">SUM(D7:D24)</f>
        <v>665533.47</v>
      </c>
      <c r="E25" s="58">
        <f t="shared" si="9"/>
        <v>5406</v>
      </c>
      <c r="F25" s="57">
        <f t="shared" si="9"/>
        <v>19449</v>
      </c>
      <c r="G25" s="57">
        <f t="shared" si="9"/>
        <v>0</v>
      </c>
      <c r="H25" s="58">
        <f t="shared" si="9"/>
        <v>4000</v>
      </c>
      <c r="I25" s="57">
        <f t="shared" si="9"/>
        <v>89015</v>
      </c>
      <c r="J25" s="57">
        <f t="shared" si="9"/>
        <v>-560</v>
      </c>
      <c r="K25" s="57">
        <f t="shared" si="9"/>
        <v>0</v>
      </c>
      <c r="L25" s="57">
        <f t="shared" si="9"/>
        <v>93941.216400000005</v>
      </c>
      <c r="M25" s="57">
        <f>SUM(M7:M24)</f>
        <v>123626.64078239998</v>
      </c>
      <c r="N25" s="57"/>
      <c r="O25" s="57">
        <f>SUM(O7:O24)</f>
        <v>1000411.3271824</v>
      </c>
      <c r="P25" s="57">
        <f>SUM(P7:P24)</f>
        <v>522190.79799880006</v>
      </c>
      <c r="Q25" s="128">
        <f>SUM(Q7:Q24)</f>
        <v>457660.64679999993</v>
      </c>
      <c r="R25" s="128">
        <f>SUM(R7:R24)</f>
        <v>64530.151198800013</v>
      </c>
      <c r="S25" s="128">
        <f>SUM(S7:S24)</f>
        <v>39932.008199999997</v>
      </c>
      <c r="T25" s="57"/>
      <c r="U25" s="57"/>
      <c r="V25" s="59">
        <f>SUM(V7:V24)</f>
        <v>562122.80619879998</v>
      </c>
      <c r="W25" s="83"/>
      <c r="X25" s="59">
        <f>SUM(X7:X24)</f>
        <v>1124245.6123976</v>
      </c>
      <c r="Y25" s="83"/>
    </row>
    <row r="26" spans="1:25" s="10" customFormat="1" ht="8.25" customHeight="1" x14ac:dyDescent="0.25">
      <c r="A26" s="31"/>
      <c r="B26" s="29"/>
      <c r="D26" s="60"/>
      <c r="E26" s="61"/>
      <c r="F26" s="60"/>
      <c r="G26" s="60"/>
      <c r="H26" s="61"/>
      <c r="I26" s="60"/>
      <c r="J26" s="60"/>
      <c r="K26" s="60"/>
      <c r="L26" s="53"/>
      <c r="M26" s="53"/>
      <c r="N26" s="60"/>
      <c r="O26" s="53"/>
      <c r="P26" s="53"/>
      <c r="Q26" s="127"/>
      <c r="R26" s="127"/>
      <c r="S26" s="129"/>
      <c r="T26" s="60"/>
      <c r="U26" s="60"/>
      <c r="V26" s="54"/>
      <c r="W26" s="53"/>
      <c r="X26" s="54"/>
      <c r="Y26" s="53"/>
    </row>
    <row r="27" spans="1:25" x14ac:dyDescent="0.25">
      <c r="A27" s="1" t="s">
        <v>21</v>
      </c>
      <c r="B27" s="36">
        <v>1</v>
      </c>
      <c r="D27" s="43">
        <f>27332*1.03</f>
        <v>28151.96</v>
      </c>
      <c r="E27" s="44">
        <v>318</v>
      </c>
      <c r="I27" s="43">
        <v>349</v>
      </c>
      <c r="L27" s="51">
        <f>SUM(D27:K27)*0.12</f>
        <v>3458.2751999999996</v>
      </c>
      <c r="M27" s="51">
        <f t="shared" si="3"/>
        <v>4551.0901631999996</v>
      </c>
      <c r="N27" s="53"/>
      <c r="O27" s="51">
        <f>SUM(D27:N27)</f>
        <v>36828.325363199998</v>
      </c>
      <c r="P27" s="51">
        <f>+O27*B27</f>
        <v>36828.325363199998</v>
      </c>
      <c r="Q27" s="127">
        <f>+P27/1.141</f>
        <v>32277.235199999999</v>
      </c>
      <c r="R27" s="127">
        <f>+P27-Q27</f>
        <v>4551.0901631999986</v>
      </c>
      <c r="S27" s="127">
        <f>+D27*0.06</f>
        <v>1689.1175999999998</v>
      </c>
      <c r="T27" s="53"/>
      <c r="U27" s="53"/>
      <c r="V27" s="54">
        <f>+P27+S27+T27</f>
        <v>38517.442963199996</v>
      </c>
      <c r="W27" s="53"/>
      <c r="X27" s="54">
        <f>+V27*$S$59</f>
        <v>77034.885926399991</v>
      </c>
      <c r="Y27" s="53"/>
    </row>
    <row r="28" spans="1:25" x14ac:dyDescent="0.25">
      <c r="A28" s="1" t="s">
        <v>21</v>
      </c>
      <c r="B28" s="36">
        <v>-0.5</v>
      </c>
      <c r="L28" s="51">
        <f>SUM(D28:K28)*0.12</f>
        <v>0</v>
      </c>
      <c r="M28" s="51">
        <f t="shared" si="3"/>
        <v>0</v>
      </c>
      <c r="N28" s="53"/>
      <c r="O28" s="51">
        <f>SUM(D28:N28)</f>
        <v>0</v>
      </c>
      <c r="P28" s="51">
        <f>+O28*B28</f>
        <v>0</v>
      </c>
      <c r="Q28" s="127">
        <f>+P28/1.141</f>
        <v>0</v>
      </c>
      <c r="R28" s="127">
        <f>+P28-Q28</f>
        <v>0</v>
      </c>
      <c r="S28" s="127">
        <f>+D28*0.06</f>
        <v>0</v>
      </c>
      <c r="T28" s="53"/>
      <c r="U28" s="53"/>
      <c r="V28" s="54">
        <f>+P28+S28+T28</f>
        <v>0</v>
      </c>
      <c r="W28" s="53"/>
      <c r="X28" s="54">
        <f>+V28*$S$59</f>
        <v>0</v>
      </c>
      <c r="Y28" s="53"/>
    </row>
    <row r="29" spans="1:25" x14ac:dyDescent="0.25">
      <c r="A29" s="1" t="s">
        <v>22</v>
      </c>
      <c r="B29" s="36">
        <v>0.75</v>
      </c>
      <c r="D29" s="43">
        <f>40163*1.03</f>
        <v>41367.89</v>
      </c>
      <c r="E29" s="44">
        <v>318</v>
      </c>
      <c r="I29" s="43">
        <v>349</v>
      </c>
      <c r="L29" s="51">
        <f>SUM(D29:K29)*0.12</f>
        <v>5044.1867999999995</v>
      </c>
      <c r="M29" s="51">
        <f t="shared" si="3"/>
        <v>6638.1498287999984</v>
      </c>
      <c r="N29" s="53"/>
      <c r="O29" s="51">
        <f>SUM(D29:N29)</f>
        <v>53717.226628799996</v>
      </c>
      <c r="P29" s="51">
        <f>+O29*B29</f>
        <v>40287.9199716</v>
      </c>
      <c r="Q29" s="127">
        <f>+P29/1.141</f>
        <v>35309.3076</v>
      </c>
      <c r="R29" s="127">
        <f>+P29-Q29</f>
        <v>4978.6123716000002</v>
      </c>
      <c r="S29" s="127">
        <f>+D29*0.06</f>
        <v>2482.0733999999998</v>
      </c>
      <c r="T29" s="53"/>
      <c r="U29" s="53"/>
      <c r="V29" s="54">
        <f>+P29+S29+T29</f>
        <v>42769.993371600001</v>
      </c>
      <c r="W29" s="53"/>
      <c r="X29" s="54">
        <f>+V29*$S$59</f>
        <v>85539.986743200003</v>
      </c>
      <c r="Y29" s="53"/>
    </row>
    <row r="30" spans="1:25" x14ac:dyDescent="0.25">
      <c r="A30" s="11" t="s">
        <v>23</v>
      </c>
      <c r="B30" s="36">
        <v>1</v>
      </c>
      <c r="D30" s="43">
        <f>31148*1.03</f>
        <v>32082.440000000002</v>
      </c>
      <c r="E30" s="44">
        <v>318</v>
      </c>
      <c r="F30" s="43">
        <v>3707</v>
      </c>
      <c r="I30" s="43">
        <v>4817</v>
      </c>
      <c r="L30" s="51">
        <f>SUM(D30:K30)*0.12</f>
        <v>4910.9328000000005</v>
      </c>
      <c r="M30" s="51">
        <f t="shared" si="3"/>
        <v>6462.7875647999999</v>
      </c>
      <c r="N30" s="53"/>
      <c r="O30" s="51">
        <f>SUM(D30:N30)</f>
        <v>52298.160364800002</v>
      </c>
      <c r="P30" s="51">
        <f>+O30*B30</f>
        <v>52298.160364800002</v>
      </c>
      <c r="Q30" s="127">
        <f>+P30/1.141</f>
        <v>45835.372800000005</v>
      </c>
      <c r="R30" s="127">
        <f>+P30-Q30</f>
        <v>6462.7875647999972</v>
      </c>
      <c r="S30" s="127">
        <f>+D30*0.06</f>
        <v>1924.9464</v>
      </c>
      <c r="T30" s="53"/>
      <c r="U30" s="53"/>
      <c r="V30" s="54">
        <f>+P30+S30+T30</f>
        <v>54223.106764800003</v>
      </c>
      <c r="W30" s="53"/>
      <c r="X30" s="54">
        <f>+V30*$S$59</f>
        <v>108446.21352960001</v>
      </c>
      <c r="Y30" s="53"/>
    </row>
    <row r="31" spans="1:25" x14ac:dyDescent="0.25">
      <c r="A31" s="11" t="s">
        <v>1</v>
      </c>
      <c r="B31" s="36">
        <v>0.75</v>
      </c>
      <c r="D31" s="43">
        <f>42684*1.03</f>
        <v>43964.520000000004</v>
      </c>
      <c r="E31" s="44">
        <v>318</v>
      </c>
      <c r="I31" s="43">
        <v>374</v>
      </c>
      <c r="L31" s="51">
        <f>SUM(D31:K31)*0.12</f>
        <v>5358.7824000000001</v>
      </c>
      <c r="M31" s="51">
        <f t="shared" si="3"/>
        <v>7052.1576383999991</v>
      </c>
      <c r="N31" s="53"/>
      <c r="O31" s="51">
        <f>SUM(D31:N31)</f>
        <v>57067.4600384</v>
      </c>
      <c r="P31" s="51">
        <f>+O31*B31</f>
        <v>42800.595028800002</v>
      </c>
      <c r="Q31" s="127">
        <f>+P31/1.141</f>
        <v>37511.476800000004</v>
      </c>
      <c r="R31" s="127">
        <f>+P31-Q31</f>
        <v>5289.1182287999982</v>
      </c>
      <c r="S31" s="127">
        <f>+D31*0.06</f>
        <v>2637.8712</v>
      </c>
      <c r="T31" s="53"/>
      <c r="U31" s="53"/>
      <c r="V31" s="54">
        <f>+P31+S31+T31</f>
        <v>45438.466228800004</v>
      </c>
      <c r="W31" s="53"/>
      <c r="X31" s="54">
        <f>+V31*$S$59</f>
        <v>90876.932457600007</v>
      </c>
      <c r="Y31" s="53"/>
    </row>
    <row r="32" spans="1:25" ht="15.75" customHeight="1" x14ac:dyDescent="0.25">
      <c r="A32" s="31" t="s">
        <v>35</v>
      </c>
      <c r="B32" s="41">
        <f>SUM(B27:B31)</f>
        <v>3</v>
      </c>
      <c r="D32" s="62">
        <f t="shared" ref="D32:X32" si="10">SUM(D27:D31)</f>
        <v>145566.81</v>
      </c>
      <c r="E32" s="63">
        <f>SUM(E29:E31)</f>
        <v>954</v>
      </c>
      <c r="F32" s="62">
        <f t="shared" si="10"/>
        <v>3707</v>
      </c>
      <c r="G32" s="62">
        <f t="shared" si="10"/>
        <v>0</v>
      </c>
      <c r="H32" s="62">
        <f t="shared" si="10"/>
        <v>0</v>
      </c>
      <c r="I32" s="62">
        <f t="shared" si="10"/>
        <v>5889</v>
      </c>
      <c r="J32" s="62">
        <f t="shared" si="10"/>
        <v>0</v>
      </c>
      <c r="K32" s="62">
        <f t="shared" si="10"/>
        <v>0</v>
      </c>
      <c r="L32" s="62">
        <f t="shared" si="10"/>
        <v>18772.177199999998</v>
      </c>
      <c r="M32" s="62">
        <f t="shared" si="10"/>
        <v>24704.1851952</v>
      </c>
      <c r="N32" s="62"/>
      <c r="O32" s="62">
        <f t="shared" si="10"/>
        <v>199911.17239519997</v>
      </c>
      <c r="P32" s="62">
        <f t="shared" si="10"/>
        <v>172215.00072840002</v>
      </c>
      <c r="Q32" s="128">
        <f t="shared" si="10"/>
        <v>150933.39240000001</v>
      </c>
      <c r="R32" s="128">
        <f t="shared" si="10"/>
        <v>21281.608328399994</v>
      </c>
      <c r="S32" s="128">
        <f t="shared" si="10"/>
        <v>8734.0085999999992</v>
      </c>
      <c r="T32" s="62"/>
      <c r="U32" s="62"/>
      <c r="V32" s="59">
        <f t="shared" si="10"/>
        <v>180949.00932840002</v>
      </c>
      <c r="W32" s="83"/>
      <c r="X32" s="59">
        <f t="shared" si="10"/>
        <v>361898.01865680004</v>
      </c>
      <c r="Y32" s="83"/>
    </row>
    <row r="33" spans="1:25" ht="9.75" customHeight="1" x14ac:dyDescent="0.25">
      <c r="A33" s="31"/>
      <c r="B33" s="30"/>
      <c r="D33" s="64"/>
      <c r="E33" s="65"/>
      <c r="F33" s="64"/>
      <c r="G33" s="64"/>
      <c r="H33" s="65"/>
      <c r="I33" s="64"/>
      <c r="J33" s="64"/>
      <c r="K33" s="64"/>
      <c r="L33" s="64"/>
      <c r="M33" s="64"/>
      <c r="N33" s="64"/>
      <c r="O33" s="64"/>
      <c r="P33" s="64"/>
      <c r="Q33" s="130"/>
      <c r="R33" s="130"/>
      <c r="S33" s="130"/>
      <c r="T33" s="64"/>
      <c r="U33" s="64"/>
      <c r="V33" s="66"/>
      <c r="W33" s="83"/>
      <c r="X33" s="66"/>
      <c r="Y33" s="83"/>
    </row>
    <row r="34" spans="1:25" x14ac:dyDescent="0.25">
      <c r="A34" s="31" t="s">
        <v>32</v>
      </c>
      <c r="B34" s="29">
        <f>+B25+B32</f>
        <v>12.5</v>
      </c>
      <c r="D34" s="57">
        <f t="shared" ref="D34:V34" si="11">+D25+D32</f>
        <v>811100.28</v>
      </c>
      <c r="E34" s="58"/>
      <c r="F34" s="57">
        <f t="shared" si="11"/>
        <v>23156</v>
      </c>
      <c r="G34" s="57">
        <f t="shared" si="11"/>
        <v>0</v>
      </c>
      <c r="H34" s="57">
        <f t="shared" si="11"/>
        <v>4000</v>
      </c>
      <c r="I34" s="57">
        <f t="shared" si="11"/>
        <v>94904</v>
      </c>
      <c r="J34" s="57">
        <f t="shared" si="11"/>
        <v>-560</v>
      </c>
      <c r="K34" s="57">
        <f t="shared" si="11"/>
        <v>0</v>
      </c>
      <c r="L34" s="57">
        <f t="shared" si="11"/>
        <v>112713.39360000001</v>
      </c>
      <c r="M34" s="57">
        <f>+M25+M32</f>
        <v>148330.82597759998</v>
      </c>
      <c r="N34" s="57"/>
      <c r="O34" s="57">
        <f t="shared" si="11"/>
        <v>1200322.4995776</v>
      </c>
      <c r="P34" s="57">
        <f t="shared" si="11"/>
        <v>694405.79872720013</v>
      </c>
      <c r="Q34" s="128">
        <f t="shared" si="11"/>
        <v>608594.0392</v>
      </c>
      <c r="R34" s="128">
        <f t="shared" si="11"/>
        <v>85811.759527200004</v>
      </c>
      <c r="S34" s="128">
        <f>+S25+S32</f>
        <v>48666.016799999998</v>
      </c>
      <c r="T34" s="57"/>
      <c r="U34" s="57"/>
      <c r="V34" s="59">
        <f t="shared" si="11"/>
        <v>743071.8155272</v>
      </c>
      <c r="W34" s="83"/>
      <c r="X34" s="59">
        <f>+X25+X32</f>
        <v>1486143.6310544</v>
      </c>
      <c r="Y34" s="83"/>
    </row>
    <row r="35" spans="1:25" x14ac:dyDescent="0.25">
      <c r="A35" s="1"/>
      <c r="B35" s="5"/>
      <c r="L35" s="51"/>
      <c r="M35" s="51"/>
      <c r="O35" s="51"/>
      <c r="P35" s="51"/>
      <c r="Q35" s="127"/>
      <c r="R35" s="127"/>
      <c r="S35" s="129"/>
      <c r="V35" s="54"/>
      <c r="W35" s="53"/>
      <c r="X35" s="54"/>
      <c r="Y35" s="53"/>
    </row>
    <row r="36" spans="1:25" x14ac:dyDescent="0.25">
      <c r="A36" s="31" t="s">
        <v>24</v>
      </c>
      <c r="B36" s="32" t="s">
        <v>2</v>
      </c>
      <c r="L36" s="51"/>
      <c r="M36" s="51"/>
      <c r="O36" s="51"/>
      <c r="P36" s="51"/>
      <c r="Q36" s="127"/>
      <c r="R36" s="127"/>
      <c r="S36" s="129"/>
      <c r="V36" s="54"/>
      <c r="W36" s="53"/>
      <c r="X36" s="54"/>
      <c r="Y36" s="53"/>
    </row>
    <row r="37" spans="1:25" x14ac:dyDescent="0.25">
      <c r="A37" s="1" t="s">
        <v>25</v>
      </c>
      <c r="B37" s="37">
        <v>1</v>
      </c>
      <c r="D37" s="43">
        <f>44016*1.03</f>
        <v>45336.480000000003</v>
      </c>
      <c r="K37" s="43">
        <v>785</v>
      </c>
      <c r="L37" s="51">
        <f t="shared" ref="L37:L48" si="12">SUM(D37:K37)*0.12</f>
        <v>5534.5776000000005</v>
      </c>
      <c r="M37" s="51">
        <f t="shared" si="3"/>
        <v>7283.5041215999991</v>
      </c>
      <c r="N37" s="53"/>
      <c r="O37" s="51">
        <f t="shared" ref="O37:O48" si="13">SUM(D37:N37)</f>
        <v>58939.561721599996</v>
      </c>
      <c r="P37" s="51">
        <f t="shared" ref="P37:P48" si="14">+O37*B37</f>
        <v>58939.561721599996</v>
      </c>
      <c r="Q37" s="127">
        <f t="shared" ref="Q37:Q48" si="15">+P37/1.141</f>
        <v>51656.057599999993</v>
      </c>
      <c r="R37" s="127">
        <f t="shared" ref="R37:R48" si="16">+P37-Q37</f>
        <v>7283.5041216000027</v>
      </c>
      <c r="S37" s="127">
        <f t="shared" ref="S37:S48" si="17">+D37*0.06</f>
        <v>2720.1887999999999</v>
      </c>
      <c r="T37" s="53"/>
      <c r="U37" s="53"/>
      <c r="V37" s="54">
        <f t="shared" ref="V37:V48" si="18">+P37+S37+T37</f>
        <v>61659.750521599999</v>
      </c>
      <c r="W37" s="53"/>
      <c r="X37" s="54">
        <f t="shared" ref="X37:X48" si="19">+V37*$S$59</f>
        <v>123319.5010432</v>
      </c>
      <c r="Y37" s="53"/>
    </row>
    <row r="38" spans="1:25" x14ac:dyDescent="0.25">
      <c r="A38" s="1" t="s">
        <v>26</v>
      </c>
      <c r="B38" s="37">
        <v>1</v>
      </c>
      <c r="D38" s="43">
        <f>32892*1.03</f>
        <v>33878.76</v>
      </c>
      <c r="K38" s="43">
        <v>785</v>
      </c>
      <c r="L38" s="51">
        <f t="shared" si="12"/>
        <v>4159.6512000000002</v>
      </c>
      <c r="M38" s="51">
        <f t="shared" si="3"/>
        <v>5474.1009791999995</v>
      </c>
      <c r="N38" s="53"/>
      <c r="O38" s="51">
        <f t="shared" si="13"/>
        <v>44297.512179199999</v>
      </c>
      <c r="P38" s="51">
        <f t="shared" si="14"/>
        <v>44297.512179199999</v>
      </c>
      <c r="Q38" s="127">
        <f t="shared" si="15"/>
        <v>38823.411200000002</v>
      </c>
      <c r="R38" s="127">
        <f t="shared" si="16"/>
        <v>5474.1009791999968</v>
      </c>
      <c r="S38" s="127">
        <f t="shared" si="17"/>
        <v>2032.7256</v>
      </c>
      <c r="T38" s="53"/>
      <c r="U38" s="53"/>
      <c r="V38" s="54">
        <f t="shared" si="18"/>
        <v>46330.237779199997</v>
      </c>
      <c r="W38" s="53"/>
      <c r="X38" s="54">
        <f t="shared" si="19"/>
        <v>92660.475558399994</v>
      </c>
      <c r="Y38" s="53"/>
    </row>
    <row r="39" spans="1:25" x14ac:dyDescent="0.25">
      <c r="A39" s="1" t="s">
        <v>27</v>
      </c>
      <c r="B39" s="37">
        <v>1</v>
      </c>
      <c r="D39" s="43">
        <f>33777*1.03</f>
        <v>34790.31</v>
      </c>
      <c r="J39" s="43">
        <v>-280</v>
      </c>
      <c r="K39" s="43">
        <v>785</v>
      </c>
      <c r="L39" s="51">
        <f t="shared" si="12"/>
        <v>4235.4371999999994</v>
      </c>
      <c r="M39" s="51">
        <f t="shared" si="3"/>
        <v>5573.835355199999</v>
      </c>
      <c r="N39" s="53"/>
      <c r="O39" s="51">
        <f t="shared" si="13"/>
        <v>45104.582555199995</v>
      </c>
      <c r="P39" s="51">
        <f t="shared" si="14"/>
        <v>45104.582555199995</v>
      </c>
      <c r="Q39" s="127">
        <f t="shared" si="15"/>
        <v>39530.747199999998</v>
      </c>
      <c r="R39" s="127">
        <f t="shared" si="16"/>
        <v>5573.8353551999971</v>
      </c>
      <c r="S39" s="127">
        <f t="shared" si="17"/>
        <v>2087.4186</v>
      </c>
      <c r="T39" s="53"/>
      <c r="U39" s="53"/>
      <c r="V39" s="54">
        <f t="shared" si="18"/>
        <v>47192.001155199992</v>
      </c>
      <c r="W39" s="53"/>
      <c r="X39" s="54">
        <f t="shared" si="19"/>
        <v>94384.002310399985</v>
      </c>
      <c r="Y39" s="53"/>
    </row>
    <row r="40" spans="1:25" x14ac:dyDescent="0.25">
      <c r="A40" s="1" t="s">
        <v>28</v>
      </c>
      <c r="B40" s="37">
        <v>1</v>
      </c>
      <c r="D40" s="43">
        <f>33334*1.03</f>
        <v>34334.020000000004</v>
      </c>
      <c r="K40" s="43">
        <v>785</v>
      </c>
      <c r="L40" s="51">
        <f t="shared" si="12"/>
        <v>4214.2824000000001</v>
      </c>
      <c r="M40" s="51">
        <f t="shared" si="3"/>
        <v>5545.9956383999997</v>
      </c>
      <c r="N40" s="53"/>
      <c r="O40" s="51">
        <f t="shared" si="13"/>
        <v>44879.298038399997</v>
      </c>
      <c r="P40" s="51">
        <f t="shared" si="14"/>
        <v>44879.298038399997</v>
      </c>
      <c r="Q40" s="127">
        <f t="shared" si="15"/>
        <v>39333.302399999993</v>
      </c>
      <c r="R40" s="127">
        <f t="shared" si="16"/>
        <v>5545.9956384000034</v>
      </c>
      <c r="S40" s="127">
        <f t="shared" si="17"/>
        <v>2060.0412000000001</v>
      </c>
      <c r="T40" s="53"/>
      <c r="U40" s="53"/>
      <c r="V40" s="54">
        <f t="shared" si="18"/>
        <v>46939.339238399996</v>
      </c>
      <c r="W40" s="53"/>
      <c r="X40" s="54">
        <f t="shared" si="19"/>
        <v>93878.678476799992</v>
      </c>
      <c r="Y40" s="53"/>
    </row>
    <row r="41" spans="1:25" x14ac:dyDescent="0.25">
      <c r="A41" s="1" t="s">
        <v>29</v>
      </c>
      <c r="B41" s="37">
        <v>0</v>
      </c>
      <c r="D41" s="43">
        <f>30895*1.03</f>
        <v>31821.850000000002</v>
      </c>
      <c r="K41" s="43">
        <v>785</v>
      </c>
      <c r="L41" s="51">
        <f t="shared" si="12"/>
        <v>3912.8220000000001</v>
      </c>
      <c r="M41" s="51">
        <f t="shared" si="3"/>
        <v>5149.2737520000001</v>
      </c>
      <c r="N41" s="53"/>
      <c r="O41" s="51">
        <f t="shared" si="13"/>
        <v>41668.945752000007</v>
      </c>
      <c r="P41" s="51">
        <f t="shared" si="14"/>
        <v>0</v>
      </c>
      <c r="Q41" s="127">
        <f t="shared" si="15"/>
        <v>0</v>
      </c>
      <c r="R41" s="127">
        <f t="shared" si="16"/>
        <v>0</v>
      </c>
      <c r="S41" s="127">
        <f t="shared" si="17"/>
        <v>1909.3110000000001</v>
      </c>
      <c r="T41" s="53"/>
      <c r="U41" s="53"/>
      <c r="V41" s="54">
        <f t="shared" si="18"/>
        <v>1909.3110000000001</v>
      </c>
      <c r="W41" s="53"/>
      <c r="X41" s="54">
        <f t="shared" si="19"/>
        <v>3818.6220000000003</v>
      </c>
      <c r="Y41" s="53"/>
    </row>
    <row r="42" spans="1:25" x14ac:dyDescent="0.25">
      <c r="A42" s="1" t="s">
        <v>30</v>
      </c>
      <c r="B42" s="37">
        <v>0</v>
      </c>
      <c r="D42" s="43">
        <f>30630*1.03</f>
        <v>31548.9</v>
      </c>
      <c r="F42" s="43">
        <v>6126</v>
      </c>
      <c r="K42" s="43">
        <v>785</v>
      </c>
      <c r="L42" s="51">
        <f t="shared" si="12"/>
        <v>4615.1880000000001</v>
      </c>
      <c r="M42" s="51">
        <f t="shared" si="3"/>
        <v>6073.5874080000003</v>
      </c>
      <c r="N42" s="53"/>
      <c r="O42" s="51">
        <f t="shared" si="13"/>
        <v>49148.675408000003</v>
      </c>
      <c r="P42" s="51">
        <f t="shared" si="14"/>
        <v>0</v>
      </c>
      <c r="Q42" s="127">
        <f t="shared" si="15"/>
        <v>0</v>
      </c>
      <c r="R42" s="127">
        <f t="shared" si="16"/>
        <v>0</v>
      </c>
      <c r="S42" s="127">
        <f t="shared" ref="S42:S47" si="20">+D42*0.06</f>
        <v>1892.934</v>
      </c>
      <c r="T42" s="53"/>
      <c r="U42" s="53"/>
      <c r="V42" s="54">
        <f t="shared" si="18"/>
        <v>1892.934</v>
      </c>
      <c r="W42" s="53"/>
      <c r="X42" s="54">
        <f t="shared" si="19"/>
        <v>3785.8679999999999</v>
      </c>
      <c r="Y42" s="53"/>
    </row>
    <row r="43" spans="1:25" x14ac:dyDescent="0.25">
      <c r="A43" s="11" t="s">
        <v>80</v>
      </c>
      <c r="B43" s="37">
        <v>1</v>
      </c>
      <c r="D43" s="43">
        <v>35000</v>
      </c>
      <c r="K43" s="43">
        <v>785</v>
      </c>
      <c r="L43" s="51">
        <f t="shared" si="12"/>
        <v>4294.2</v>
      </c>
      <c r="M43" s="51">
        <f t="shared" si="3"/>
        <v>5651.167199999999</v>
      </c>
      <c r="N43" s="53"/>
      <c r="O43" s="51">
        <f t="shared" si="13"/>
        <v>45730.367199999993</v>
      </c>
      <c r="P43" s="51">
        <f t="shared" si="14"/>
        <v>45730.367199999993</v>
      </c>
      <c r="Q43" s="127">
        <f t="shared" si="15"/>
        <v>40079.199999999997</v>
      </c>
      <c r="R43" s="127">
        <f t="shared" si="16"/>
        <v>5651.1671999999962</v>
      </c>
      <c r="S43" s="127">
        <f t="shared" si="20"/>
        <v>2100</v>
      </c>
      <c r="T43" s="53"/>
      <c r="U43" s="53"/>
      <c r="V43" s="54">
        <f t="shared" si="18"/>
        <v>47830.367199999993</v>
      </c>
      <c r="W43" s="53"/>
      <c r="X43" s="54">
        <f t="shared" si="19"/>
        <v>95660.734399999987</v>
      </c>
      <c r="Y43" s="53"/>
    </row>
    <row r="44" spans="1:25" x14ac:dyDescent="0.25">
      <c r="A44" s="11" t="s">
        <v>80</v>
      </c>
      <c r="B44" s="37">
        <v>1</v>
      </c>
      <c r="D44" s="43">
        <v>35000</v>
      </c>
      <c r="K44" s="43">
        <v>785</v>
      </c>
      <c r="L44" s="51">
        <f t="shared" si="12"/>
        <v>4294.2</v>
      </c>
      <c r="M44" s="51">
        <f t="shared" si="3"/>
        <v>5651.167199999999</v>
      </c>
      <c r="N44" s="53"/>
      <c r="O44" s="51">
        <f t="shared" si="13"/>
        <v>45730.367199999993</v>
      </c>
      <c r="P44" s="51">
        <f t="shared" si="14"/>
        <v>45730.367199999993</v>
      </c>
      <c r="Q44" s="127">
        <f t="shared" si="15"/>
        <v>40079.199999999997</v>
      </c>
      <c r="R44" s="127">
        <f t="shared" si="16"/>
        <v>5651.1671999999962</v>
      </c>
      <c r="S44" s="127">
        <f t="shared" si="20"/>
        <v>2100</v>
      </c>
      <c r="T44" s="53"/>
      <c r="U44" s="53"/>
      <c r="V44" s="54">
        <f t="shared" si="18"/>
        <v>47830.367199999993</v>
      </c>
      <c r="W44" s="53"/>
      <c r="X44" s="54">
        <f t="shared" si="19"/>
        <v>95660.734399999987</v>
      </c>
      <c r="Y44" s="53"/>
    </row>
    <row r="45" spans="1:25" x14ac:dyDescent="0.25">
      <c r="A45" s="11" t="s">
        <v>80</v>
      </c>
      <c r="B45" s="37">
        <v>1</v>
      </c>
      <c r="D45" s="43">
        <v>35000</v>
      </c>
      <c r="K45" s="43">
        <v>785</v>
      </c>
      <c r="L45" s="51">
        <f t="shared" si="12"/>
        <v>4294.2</v>
      </c>
      <c r="M45" s="51">
        <f t="shared" si="3"/>
        <v>5651.167199999999</v>
      </c>
      <c r="N45" s="53"/>
      <c r="O45" s="51">
        <f t="shared" si="13"/>
        <v>45730.367199999993</v>
      </c>
      <c r="P45" s="51">
        <f t="shared" si="14"/>
        <v>45730.367199999993</v>
      </c>
      <c r="Q45" s="127">
        <f t="shared" si="15"/>
        <v>40079.199999999997</v>
      </c>
      <c r="R45" s="127">
        <f t="shared" si="16"/>
        <v>5651.1671999999962</v>
      </c>
      <c r="S45" s="127">
        <f t="shared" si="20"/>
        <v>2100</v>
      </c>
      <c r="T45" s="53"/>
      <c r="U45" s="53"/>
      <c r="V45" s="54">
        <f t="shared" si="18"/>
        <v>47830.367199999993</v>
      </c>
      <c r="W45" s="53"/>
      <c r="X45" s="54">
        <f t="shared" si="19"/>
        <v>95660.734399999987</v>
      </c>
      <c r="Y45" s="53"/>
    </row>
    <row r="46" spans="1:25" x14ac:dyDescent="0.25">
      <c r="A46" s="11" t="s">
        <v>80</v>
      </c>
      <c r="B46" s="37">
        <v>0</v>
      </c>
      <c r="D46" s="43">
        <v>35000</v>
      </c>
      <c r="K46" s="43">
        <v>785</v>
      </c>
      <c r="L46" s="51">
        <f t="shared" si="12"/>
        <v>4294.2</v>
      </c>
      <c r="M46" s="51">
        <f t="shared" si="3"/>
        <v>5651.167199999999</v>
      </c>
      <c r="N46" s="53"/>
      <c r="O46" s="51">
        <f t="shared" si="13"/>
        <v>45730.367199999993</v>
      </c>
      <c r="P46" s="51">
        <f t="shared" si="14"/>
        <v>0</v>
      </c>
      <c r="Q46" s="127">
        <f t="shared" si="15"/>
        <v>0</v>
      </c>
      <c r="R46" s="127">
        <f t="shared" si="16"/>
        <v>0</v>
      </c>
      <c r="S46" s="127">
        <f t="shared" si="20"/>
        <v>2100</v>
      </c>
      <c r="T46" s="53"/>
      <c r="U46" s="53"/>
      <c r="V46" s="54">
        <f t="shared" si="18"/>
        <v>2100</v>
      </c>
      <c r="W46" s="53"/>
      <c r="X46" s="54">
        <f t="shared" si="19"/>
        <v>4200</v>
      </c>
      <c r="Y46" s="53"/>
    </row>
    <row r="47" spans="1:25" x14ac:dyDescent="0.25">
      <c r="A47" s="11" t="s">
        <v>80</v>
      </c>
      <c r="B47" s="37"/>
      <c r="L47" s="51">
        <f t="shared" si="12"/>
        <v>0</v>
      </c>
      <c r="M47" s="51">
        <f t="shared" si="3"/>
        <v>0</v>
      </c>
      <c r="N47" s="53"/>
      <c r="O47" s="51">
        <f t="shared" si="13"/>
        <v>0</v>
      </c>
      <c r="P47" s="51">
        <f t="shared" si="14"/>
        <v>0</v>
      </c>
      <c r="Q47" s="127">
        <f t="shared" si="15"/>
        <v>0</v>
      </c>
      <c r="R47" s="127">
        <f t="shared" si="16"/>
        <v>0</v>
      </c>
      <c r="S47" s="127">
        <f t="shared" si="20"/>
        <v>0</v>
      </c>
      <c r="T47" s="53"/>
      <c r="U47" s="53"/>
      <c r="V47" s="54">
        <f t="shared" si="18"/>
        <v>0</v>
      </c>
      <c r="W47" s="53"/>
      <c r="X47" s="54">
        <f t="shared" si="19"/>
        <v>0</v>
      </c>
      <c r="Y47" s="53"/>
    </row>
    <row r="48" spans="1:25" x14ac:dyDescent="0.25">
      <c r="A48" s="1" t="s">
        <v>31</v>
      </c>
      <c r="B48" s="37">
        <v>0</v>
      </c>
      <c r="D48" s="43">
        <f>35686*1.03</f>
        <v>36756.58</v>
      </c>
      <c r="I48" s="43">
        <v>2250</v>
      </c>
      <c r="J48" s="43">
        <v>-280</v>
      </c>
      <c r="K48" s="43">
        <v>785</v>
      </c>
      <c r="L48" s="51">
        <f t="shared" si="12"/>
        <v>4741.3896000000004</v>
      </c>
      <c r="M48" s="51">
        <f t="shared" si="3"/>
        <v>6239.6687136</v>
      </c>
      <c r="N48" s="53"/>
      <c r="O48" s="51">
        <f t="shared" si="13"/>
        <v>50492.638313600008</v>
      </c>
      <c r="P48" s="51">
        <f t="shared" si="14"/>
        <v>0</v>
      </c>
      <c r="Q48" s="127">
        <f t="shared" si="15"/>
        <v>0</v>
      </c>
      <c r="R48" s="127">
        <f t="shared" si="16"/>
        <v>0</v>
      </c>
      <c r="S48" s="127">
        <f t="shared" si="17"/>
        <v>2205.3948</v>
      </c>
      <c r="T48" s="53"/>
      <c r="U48" s="53"/>
      <c r="V48" s="54">
        <f t="shared" si="18"/>
        <v>2205.3948</v>
      </c>
      <c r="W48" s="53"/>
      <c r="X48" s="54">
        <f t="shared" si="19"/>
        <v>4410.7896000000001</v>
      </c>
      <c r="Y48" s="53"/>
    </row>
    <row r="49" spans="1:26" x14ac:dyDescent="0.25">
      <c r="A49" s="38" t="s">
        <v>33</v>
      </c>
      <c r="B49" s="42">
        <f>SUM(B37:B48)</f>
        <v>7</v>
      </c>
      <c r="D49" s="62">
        <f>SUM(D37:D48)</f>
        <v>388466.9</v>
      </c>
      <c r="E49" s="63"/>
      <c r="F49" s="62">
        <f t="shared" ref="F49:L49" si="21">SUM(F37:F48)</f>
        <v>6126</v>
      </c>
      <c r="G49" s="62">
        <f t="shared" si="21"/>
        <v>0</v>
      </c>
      <c r="H49" s="62">
        <f t="shared" si="21"/>
        <v>0</v>
      </c>
      <c r="I49" s="62">
        <f t="shared" si="21"/>
        <v>2250</v>
      </c>
      <c r="J49" s="62">
        <f t="shared" si="21"/>
        <v>-560</v>
      </c>
      <c r="K49" s="62">
        <f t="shared" si="21"/>
        <v>8635</v>
      </c>
      <c r="L49" s="62">
        <f t="shared" si="21"/>
        <v>48590.148000000001</v>
      </c>
      <c r="M49" s="62">
        <f>SUM(M37:M48)</f>
        <v>63944.634767999989</v>
      </c>
      <c r="N49" s="62"/>
      <c r="O49" s="62">
        <f>SUM(O37:O48)</f>
        <v>517452.68276799994</v>
      </c>
      <c r="P49" s="62">
        <f>SUM(P37:P48)</f>
        <v>330412.05609439994</v>
      </c>
      <c r="Q49" s="128">
        <f>SUM(Q37:Q48)</f>
        <v>289581.11840000004</v>
      </c>
      <c r="R49" s="128">
        <f>SUM(R37:R48)</f>
        <v>40830.937694399989</v>
      </c>
      <c r="S49" s="128">
        <f>SUM(S37:S48)</f>
        <v>23308.014000000003</v>
      </c>
      <c r="T49" s="62"/>
      <c r="U49" s="62"/>
      <c r="V49" s="59">
        <f>SUM(V37:V48)</f>
        <v>353720.07009439991</v>
      </c>
      <c r="W49" s="83"/>
      <c r="X49" s="59">
        <f>SUM(X37:X48)</f>
        <v>707440.14018879982</v>
      </c>
      <c r="Y49" s="83"/>
    </row>
    <row r="50" spans="1:26" x14ac:dyDescent="0.25">
      <c r="A50" s="38"/>
      <c r="B50" s="29"/>
      <c r="D50" s="64"/>
      <c r="E50" s="65"/>
      <c r="F50" s="64"/>
      <c r="G50" s="64"/>
      <c r="H50" s="64"/>
      <c r="I50" s="64"/>
      <c r="J50" s="64"/>
      <c r="K50" s="64"/>
      <c r="L50" s="64"/>
      <c r="M50" s="64"/>
      <c r="N50" s="64"/>
      <c r="O50" s="64"/>
      <c r="P50" s="64"/>
      <c r="Q50" s="130"/>
      <c r="R50" s="130"/>
      <c r="S50" s="130"/>
      <c r="T50" s="64"/>
      <c r="U50" s="64"/>
      <c r="V50" s="66"/>
      <c r="W50" s="83"/>
      <c r="X50" s="66"/>
      <c r="Y50" s="83"/>
    </row>
    <row r="51" spans="1:26" x14ac:dyDescent="0.25">
      <c r="A51" s="38" t="s">
        <v>73</v>
      </c>
      <c r="B51" s="29"/>
      <c r="D51" s="64"/>
      <c r="E51" s="65"/>
      <c r="F51" s="64"/>
      <c r="G51" s="64"/>
      <c r="H51" s="64"/>
      <c r="I51" s="64"/>
      <c r="J51" s="64"/>
      <c r="K51" s="64"/>
      <c r="L51" s="64"/>
      <c r="M51" s="64"/>
      <c r="N51" s="64"/>
      <c r="O51" s="64"/>
      <c r="P51" s="64"/>
      <c r="Q51" s="130"/>
      <c r="R51" s="130"/>
      <c r="S51" s="130"/>
      <c r="T51" s="64"/>
      <c r="U51" s="64"/>
      <c r="V51" s="66"/>
      <c r="W51" s="83"/>
      <c r="X51" s="66"/>
      <c r="Y51" s="83"/>
    </row>
    <row r="52" spans="1:26" x14ac:dyDescent="0.25">
      <c r="A52" s="8" t="s">
        <v>74</v>
      </c>
      <c r="B52" s="78">
        <v>0</v>
      </c>
      <c r="D52" s="64"/>
      <c r="E52" s="65"/>
      <c r="F52" s="64"/>
      <c r="G52" s="64"/>
      <c r="H52" s="64"/>
      <c r="I52" s="64"/>
      <c r="J52" s="64"/>
      <c r="K52" s="64"/>
      <c r="L52" s="51"/>
      <c r="M52" s="51"/>
      <c r="N52" s="53"/>
      <c r="O52" s="51"/>
      <c r="P52" s="64"/>
      <c r="Q52" s="130"/>
      <c r="R52" s="130"/>
      <c r="S52" s="127"/>
      <c r="T52" s="64"/>
      <c r="U52" s="64"/>
      <c r="V52" s="66"/>
      <c r="W52" s="83"/>
      <c r="X52" s="66"/>
      <c r="Y52" s="83"/>
    </row>
    <row r="53" spans="1:26" x14ac:dyDescent="0.25">
      <c r="A53" s="38" t="s">
        <v>75</v>
      </c>
      <c r="B53" s="79">
        <f>SUM(B52:B52)</f>
        <v>0</v>
      </c>
      <c r="D53" s="62">
        <f t="shared" ref="D53:M53" si="22">SUM(D52:D52)</f>
        <v>0</v>
      </c>
      <c r="E53" s="62">
        <f t="shared" si="22"/>
        <v>0</v>
      </c>
      <c r="F53" s="62">
        <f t="shared" si="22"/>
        <v>0</v>
      </c>
      <c r="G53" s="62">
        <f t="shared" si="22"/>
        <v>0</v>
      </c>
      <c r="H53" s="62">
        <f t="shared" si="22"/>
        <v>0</v>
      </c>
      <c r="I53" s="62">
        <f t="shared" si="22"/>
        <v>0</v>
      </c>
      <c r="J53" s="62">
        <f t="shared" si="22"/>
        <v>0</v>
      </c>
      <c r="K53" s="62">
        <f t="shared" si="22"/>
        <v>0</v>
      </c>
      <c r="L53" s="62">
        <f t="shared" si="22"/>
        <v>0</v>
      </c>
      <c r="M53" s="62">
        <f t="shared" si="22"/>
        <v>0</v>
      </c>
      <c r="N53" s="62"/>
      <c r="O53" s="62">
        <f>SUM(O52:O52)</f>
        <v>0</v>
      </c>
      <c r="P53" s="62">
        <f>SUM(P52:P52)</f>
        <v>0</v>
      </c>
      <c r="Q53" s="128">
        <f>SUM(Q52:Q52)</f>
        <v>0</v>
      </c>
      <c r="R53" s="128">
        <f>SUM(R52:R52)</f>
        <v>0</v>
      </c>
      <c r="S53" s="128">
        <f>SUM(S52:S52)</f>
        <v>0</v>
      </c>
      <c r="T53" s="62"/>
      <c r="U53" s="62"/>
      <c r="V53" s="59">
        <f>SUM(V52:V52)</f>
        <v>0</v>
      </c>
      <c r="W53" s="83"/>
      <c r="X53" s="59">
        <f>SUM(X52:X52)</f>
        <v>0</v>
      </c>
      <c r="Y53" s="83"/>
    </row>
    <row r="54" spans="1:26" x14ac:dyDescent="0.25">
      <c r="D54" s="55"/>
      <c r="E54" s="56"/>
      <c r="F54" s="55"/>
      <c r="G54" s="55"/>
      <c r="H54" s="56"/>
      <c r="I54" s="55"/>
      <c r="J54" s="55"/>
      <c r="K54" s="55"/>
      <c r="L54" s="55"/>
      <c r="M54" s="55"/>
      <c r="N54" s="55"/>
      <c r="O54" s="55"/>
      <c r="P54" s="55"/>
      <c r="Q54" s="131"/>
      <c r="R54" s="131"/>
      <c r="S54" s="131"/>
      <c r="T54" s="55"/>
      <c r="U54" s="55"/>
      <c r="V54" s="67"/>
      <c r="W54" s="88"/>
      <c r="X54" s="67"/>
      <c r="Y54" s="88"/>
    </row>
    <row r="55" spans="1:26" ht="13.8" thickBot="1" x14ac:dyDescent="0.3">
      <c r="A55" s="30" t="s">
        <v>34</v>
      </c>
      <c r="B55" s="30">
        <f>+B25+B32+B49+B53</f>
        <v>19.5</v>
      </c>
      <c r="D55" s="68">
        <f t="shared" ref="D55:L55" si="23">+D25+D32+D49+D53</f>
        <v>1199567.1800000002</v>
      </c>
      <c r="E55" s="68">
        <f t="shared" si="23"/>
        <v>6360</v>
      </c>
      <c r="F55" s="68">
        <f t="shared" si="23"/>
        <v>29282</v>
      </c>
      <c r="G55" s="68">
        <f t="shared" si="23"/>
        <v>0</v>
      </c>
      <c r="H55" s="68">
        <f t="shared" si="23"/>
        <v>4000</v>
      </c>
      <c r="I55" s="68">
        <f t="shared" si="23"/>
        <v>97154</v>
      </c>
      <c r="J55" s="68">
        <f t="shared" si="23"/>
        <v>-1120</v>
      </c>
      <c r="K55" s="68">
        <f t="shared" si="23"/>
        <v>8635</v>
      </c>
      <c r="L55" s="68">
        <f t="shared" si="23"/>
        <v>161303.5416</v>
      </c>
      <c r="M55" s="68">
        <f>+M25+M32+M49+M53</f>
        <v>212275.46074559996</v>
      </c>
      <c r="N55" s="68"/>
      <c r="O55" s="68">
        <f>+O25+O32+O49+O53</f>
        <v>1717775.1823455999</v>
      </c>
      <c r="P55" s="68">
        <f>+P25+P32+P49+P53</f>
        <v>1024817.8548216</v>
      </c>
      <c r="Q55" s="132">
        <f>+Q25+Q32+Q49+Q53</f>
        <v>898175.15760000004</v>
      </c>
      <c r="R55" s="132">
        <f>+R25+R32+R49+R53</f>
        <v>126642.69722159998</v>
      </c>
      <c r="S55" s="132">
        <f>+S25+S32+S49+S53</f>
        <v>71974.030800000008</v>
      </c>
      <c r="T55" s="68"/>
      <c r="U55" s="68"/>
      <c r="V55" s="69">
        <f>+V25+V32+V49+V53</f>
        <v>1096791.8856215999</v>
      </c>
      <c r="W55" s="83"/>
      <c r="X55" s="69">
        <f>+X25+X32+X49+X53</f>
        <v>2193583.7712431997</v>
      </c>
      <c r="Y55" s="83"/>
      <c r="Z55" s="83"/>
    </row>
    <row r="56" spans="1:26" ht="13.8" thickTop="1" x14ac:dyDescent="0.25"/>
    <row r="58" spans="1:26" x14ac:dyDescent="0.25">
      <c r="A58" s="39" t="s">
        <v>220</v>
      </c>
      <c r="B58" s="108">
        <v>196</v>
      </c>
    </row>
    <row r="59" spans="1:26" x14ac:dyDescent="0.25">
      <c r="A59" s="39"/>
      <c r="B59" s="39"/>
      <c r="P59" s="81" t="s">
        <v>76</v>
      </c>
      <c r="Q59" s="81"/>
      <c r="R59" s="81"/>
      <c r="S59" s="82">
        <v>2</v>
      </c>
      <c r="V59" s="77" t="s">
        <v>53</v>
      </c>
      <c r="W59" s="60"/>
      <c r="X59" s="88"/>
      <c r="Y59" s="60"/>
      <c r="Z59" s="10"/>
    </row>
    <row r="60" spans="1:26" x14ac:dyDescent="0.25">
      <c r="A60" s="39" t="s">
        <v>61</v>
      </c>
      <c r="B60" s="39"/>
      <c r="P60" s="76" t="s">
        <v>72</v>
      </c>
      <c r="Q60" s="76"/>
      <c r="R60" s="76"/>
      <c r="W60" s="47"/>
      <c r="X60" s="83"/>
      <c r="Y60" s="47"/>
      <c r="Z60" s="47"/>
    </row>
    <row r="61" spans="1:26" x14ac:dyDescent="0.25">
      <c r="A61" s="39" t="s">
        <v>62</v>
      </c>
      <c r="B61" s="109">
        <f>+B55/B58</f>
        <v>9.9489795918367346E-2</v>
      </c>
      <c r="W61" s="55"/>
      <c r="X61" s="88"/>
      <c r="Y61" s="55"/>
      <c r="Z61" s="55"/>
    </row>
    <row r="62" spans="1:26" x14ac:dyDescent="0.25">
      <c r="A62" s="39" t="s">
        <v>63</v>
      </c>
      <c r="B62" s="109">
        <f>(B58-B55)/B58</f>
        <v>0.90051020408163263</v>
      </c>
      <c r="O62" s="75">
        <v>5100</v>
      </c>
      <c r="P62" s="43" t="s">
        <v>36</v>
      </c>
      <c r="V62" s="43">
        <f>+Q55*S59</f>
        <v>1796350.3152000001</v>
      </c>
      <c r="W62" s="55"/>
      <c r="X62" s="88"/>
      <c r="Y62" s="55"/>
      <c r="Z62" s="55"/>
    </row>
    <row r="63" spans="1:26" x14ac:dyDescent="0.25">
      <c r="O63" s="75">
        <v>5101</v>
      </c>
      <c r="P63" s="43" t="s">
        <v>71</v>
      </c>
      <c r="V63" s="43">
        <f>+R55*S59</f>
        <v>253285.39444319997</v>
      </c>
      <c r="W63" s="55"/>
      <c r="X63" s="88"/>
      <c r="Y63" s="55"/>
      <c r="Z63" s="55"/>
    </row>
    <row r="64" spans="1:26" x14ac:dyDescent="0.25">
      <c r="O64" s="75">
        <v>5103</v>
      </c>
      <c r="P64" s="43" t="s">
        <v>79</v>
      </c>
      <c r="V64" s="43">
        <f>+S55*S59</f>
        <v>143948.06160000002</v>
      </c>
      <c r="W64" s="55"/>
      <c r="X64" s="88"/>
      <c r="Y64" s="55"/>
      <c r="Z64" s="55"/>
    </row>
    <row r="65" spans="2:29" x14ac:dyDescent="0.25">
      <c r="W65" s="55"/>
      <c r="X65" s="88"/>
      <c r="Y65" s="55"/>
      <c r="Z65" s="55"/>
    </row>
    <row r="66" spans="2:29" ht="13.8" thickBot="1" x14ac:dyDescent="0.3">
      <c r="P66" s="80" t="s">
        <v>77</v>
      </c>
      <c r="Q66" s="80"/>
      <c r="R66" s="80"/>
      <c r="S66" s="80"/>
      <c r="T66" s="80"/>
      <c r="U66" s="80"/>
      <c r="V66" s="80">
        <f>SUM(V62:V65)</f>
        <v>2193583.7712432002</v>
      </c>
      <c r="W66" s="55"/>
      <c r="X66" s="88"/>
      <c r="Y66" s="55"/>
      <c r="Z66" s="55"/>
    </row>
    <row r="67" spans="2:29" ht="13.8" thickTop="1" x14ac:dyDescent="0.25">
      <c r="W67" s="55"/>
      <c r="X67" s="88"/>
      <c r="Y67" s="55"/>
      <c r="Z67" s="55"/>
    </row>
    <row r="68" spans="2:29" x14ac:dyDescent="0.25">
      <c r="B68" s="102"/>
      <c r="C68" s="31"/>
      <c r="D68" s="9"/>
      <c r="E68" s="9"/>
      <c r="F68" s="53"/>
      <c r="G68" s="53"/>
      <c r="H68" s="53"/>
      <c r="I68" s="9"/>
      <c r="J68" s="95"/>
      <c r="K68" s="95"/>
      <c r="L68" s="95"/>
    </row>
    <row r="69" spans="2:29" x14ac:dyDescent="0.25">
      <c r="B69" s="102"/>
      <c r="C69" s="31"/>
      <c r="D69" s="9"/>
      <c r="E69" s="9"/>
      <c r="F69" s="53"/>
      <c r="G69" s="53"/>
      <c r="H69" s="53"/>
      <c r="I69" s="9"/>
      <c r="J69" s="96"/>
      <c r="K69" s="96"/>
      <c r="L69" s="95"/>
    </row>
    <row r="70" spans="2:29" x14ac:dyDescent="0.25">
      <c r="B70" s="102"/>
      <c r="C70" s="31"/>
      <c r="D70" s="9"/>
      <c r="E70" s="9"/>
      <c r="F70" s="53"/>
      <c r="G70" s="53"/>
      <c r="H70" s="53"/>
      <c r="I70" s="9"/>
      <c r="J70" s="96"/>
      <c r="K70" s="96"/>
      <c r="L70" s="95"/>
      <c r="R70" s="60"/>
      <c r="S70" s="45"/>
      <c r="T70" s="60"/>
      <c r="U70" s="60"/>
      <c r="V70" s="60"/>
      <c r="W70" s="60"/>
      <c r="X70" s="60"/>
      <c r="Y70" s="60"/>
      <c r="Z70" s="10"/>
      <c r="AA70" s="10"/>
      <c r="AB70" s="10"/>
      <c r="AC70" s="10"/>
    </row>
    <row r="71" spans="2:29" x14ac:dyDescent="0.25">
      <c r="B71" s="102"/>
      <c r="C71" s="31"/>
      <c r="D71" s="31"/>
      <c r="E71" s="31"/>
      <c r="F71" s="83"/>
      <c r="G71" s="83"/>
      <c r="H71" s="83"/>
      <c r="I71" s="31"/>
      <c r="J71" s="103"/>
      <c r="K71" s="103"/>
      <c r="L71" s="104"/>
      <c r="P71" s="45"/>
      <c r="Q71" s="45"/>
      <c r="R71" s="45"/>
      <c r="S71" s="133"/>
      <c r="T71" s="60"/>
      <c r="U71" s="60"/>
      <c r="V71" s="60"/>
      <c r="W71" s="60"/>
      <c r="X71" s="60"/>
      <c r="Y71" s="60"/>
      <c r="Z71" s="10"/>
      <c r="AA71" s="10"/>
      <c r="AB71" s="10"/>
      <c r="AC71" s="10"/>
    </row>
    <row r="72" spans="2:29" x14ac:dyDescent="0.25">
      <c r="B72" s="102"/>
      <c r="C72" s="31"/>
      <c r="D72" s="9"/>
      <c r="E72" s="31"/>
      <c r="F72" s="83"/>
      <c r="G72" s="83"/>
      <c r="H72" s="83"/>
      <c r="I72" s="31"/>
      <c r="J72" s="103"/>
      <c r="K72" s="103"/>
      <c r="L72" s="104"/>
      <c r="O72"/>
      <c r="P72"/>
      <c r="Q72"/>
      <c r="R72" s="10"/>
      <c r="S72" s="134"/>
      <c r="T72" s="10"/>
      <c r="U72" s="10"/>
      <c r="V72" s="10"/>
      <c r="W72" s="60"/>
      <c r="X72" s="60"/>
      <c r="Y72" s="60"/>
      <c r="Z72" s="10"/>
      <c r="AA72" s="10"/>
      <c r="AB72" s="10"/>
      <c r="AC72" s="10"/>
    </row>
    <row r="73" spans="2:29" x14ac:dyDescent="0.25">
      <c r="B73" s="102"/>
      <c r="C73" s="9"/>
      <c r="D73" s="9"/>
      <c r="E73" s="9"/>
      <c r="F73" s="73"/>
      <c r="G73" s="105"/>
      <c r="H73" s="49"/>
      <c r="I73" s="9"/>
      <c r="J73" s="49"/>
      <c r="K73" s="49"/>
      <c r="L73" s="53"/>
      <c r="O73"/>
      <c r="P73"/>
      <c r="Q73"/>
      <c r="R73" s="10"/>
      <c r="S73" s="10"/>
      <c r="T73" s="10"/>
      <c r="U73" s="10"/>
      <c r="V73" s="10"/>
      <c r="W73" s="60"/>
      <c r="X73" s="60"/>
      <c r="Y73" s="60"/>
      <c r="Z73" s="10"/>
      <c r="AA73" s="10"/>
      <c r="AB73" s="10"/>
      <c r="AC73" s="10"/>
    </row>
    <row r="74" spans="2:29" x14ac:dyDescent="0.25">
      <c r="B74" s="102"/>
      <c r="C74" s="9"/>
      <c r="D74" s="9"/>
      <c r="E74" s="9"/>
      <c r="F74" s="88"/>
      <c r="G74" s="105"/>
      <c r="H74" s="49"/>
      <c r="I74" s="9"/>
      <c r="J74" s="49"/>
      <c r="K74" s="49"/>
      <c r="L74" s="53"/>
      <c r="N74"/>
      <c r="O74"/>
      <c r="P74"/>
      <c r="Q74"/>
      <c r="R74" s="10"/>
      <c r="S74" s="10"/>
      <c r="T74" s="10"/>
      <c r="U74" s="10"/>
      <c r="V74" s="10"/>
      <c r="W74" s="60"/>
      <c r="X74" s="60"/>
      <c r="Y74" s="60"/>
      <c r="Z74" s="10"/>
      <c r="AA74" s="10"/>
      <c r="AB74" s="10"/>
      <c r="AC74" s="10"/>
    </row>
    <row r="75" spans="2:29" x14ac:dyDescent="0.25">
      <c r="B75" s="102"/>
      <c r="C75" s="9"/>
      <c r="D75" s="9"/>
      <c r="E75" s="9"/>
      <c r="F75" s="88"/>
      <c r="G75" s="105"/>
      <c r="H75" s="49"/>
      <c r="I75" s="9"/>
      <c r="J75" s="49"/>
      <c r="K75" s="49"/>
      <c r="L75" s="53"/>
      <c r="N75"/>
      <c r="O75"/>
      <c r="P75"/>
      <c r="Q75"/>
      <c r="R75" s="10"/>
      <c r="S75" s="10"/>
      <c r="T75" s="10"/>
      <c r="U75" s="10"/>
      <c r="V75" s="10"/>
      <c r="W75" s="60"/>
      <c r="X75" s="60"/>
      <c r="Y75" s="60"/>
      <c r="Z75" s="10"/>
      <c r="AA75" s="10"/>
      <c r="AB75" s="10"/>
      <c r="AC75" s="10"/>
    </row>
    <row r="76" spans="2:29" x14ac:dyDescent="0.25">
      <c r="B76" s="102"/>
      <c r="C76" s="9"/>
      <c r="D76" s="9"/>
      <c r="E76" s="9"/>
      <c r="F76" s="88"/>
      <c r="G76" s="105"/>
      <c r="H76" s="49"/>
      <c r="I76" s="9"/>
      <c r="J76" s="49"/>
      <c r="K76" s="49"/>
      <c r="L76" s="53"/>
      <c r="N76"/>
      <c r="O76"/>
      <c r="P76"/>
      <c r="Q76"/>
      <c r="R76"/>
      <c r="S76"/>
      <c r="T76"/>
      <c r="U76"/>
      <c r="V76"/>
    </row>
    <row r="77" spans="2:29" x14ac:dyDescent="0.25">
      <c r="B77" s="102"/>
      <c r="C77" s="9"/>
      <c r="D77" s="9"/>
      <c r="E77" s="9"/>
      <c r="F77" s="88"/>
      <c r="G77" s="105"/>
      <c r="H77" s="49"/>
      <c r="I77" s="9"/>
      <c r="J77" s="49"/>
      <c r="K77" s="49"/>
      <c r="L77" s="53"/>
      <c r="N77"/>
      <c r="O77"/>
      <c r="P77"/>
      <c r="Q77"/>
      <c r="R77"/>
      <c r="S77"/>
      <c r="T77"/>
      <c r="U77"/>
      <c r="V77"/>
    </row>
    <row r="78" spans="2:29" x14ac:dyDescent="0.25">
      <c r="B78" s="102"/>
      <c r="C78" s="9"/>
      <c r="D78" s="9"/>
      <c r="E78" s="9"/>
      <c r="F78" s="88"/>
      <c r="G78" s="105"/>
      <c r="H78" s="49"/>
      <c r="I78" s="9"/>
      <c r="J78" s="49"/>
      <c r="K78" s="49"/>
      <c r="L78" s="53"/>
      <c r="N78"/>
      <c r="O78"/>
      <c r="P78"/>
      <c r="Q78"/>
      <c r="R78"/>
      <c r="S78"/>
      <c r="T78"/>
      <c r="U78"/>
      <c r="V78"/>
    </row>
    <row r="79" spans="2:29" x14ac:dyDescent="0.25">
      <c r="B79" s="102"/>
      <c r="C79" s="9"/>
      <c r="D79" s="9"/>
      <c r="E79" s="9"/>
      <c r="F79" s="88"/>
      <c r="G79" s="105"/>
      <c r="H79" s="49"/>
      <c r="I79" s="9"/>
      <c r="J79" s="49"/>
      <c r="K79" s="49"/>
      <c r="L79" s="53"/>
      <c r="N79"/>
      <c r="O79"/>
      <c r="P79"/>
      <c r="Q79"/>
      <c r="R79"/>
      <c r="S79"/>
      <c r="T79"/>
      <c r="U79"/>
      <c r="V79"/>
    </row>
    <row r="80" spans="2:29" x14ac:dyDescent="0.25">
      <c r="B80" s="102"/>
      <c r="C80" s="9"/>
      <c r="D80" s="9"/>
      <c r="E80" s="9"/>
      <c r="F80" s="88"/>
      <c r="G80" s="105"/>
      <c r="H80" s="49"/>
      <c r="I80" s="9"/>
      <c r="J80" s="49"/>
      <c r="K80" s="49"/>
      <c r="L80" s="53"/>
      <c r="N80"/>
      <c r="O80"/>
      <c r="P80"/>
      <c r="Q80"/>
      <c r="R80"/>
      <c r="S80"/>
      <c r="T80"/>
      <c r="U80"/>
      <c r="V80"/>
    </row>
    <row r="81" spans="2:22" x14ac:dyDescent="0.25">
      <c r="B81" s="102"/>
      <c r="C81" s="9"/>
      <c r="D81" s="9"/>
      <c r="E81" s="9"/>
      <c r="F81" s="88"/>
      <c r="G81" s="105"/>
      <c r="H81" s="49"/>
      <c r="I81" s="9"/>
      <c r="J81" s="49"/>
      <c r="K81" s="49"/>
      <c r="L81" s="53"/>
      <c r="N81"/>
      <c r="O81"/>
      <c r="P81"/>
      <c r="Q81"/>
      <c r="R81"/>
      <c r="S81"/>
      <c r="T81"/>
      <c r="U81"/>
      <c r="V81"/>
    </row>
    <row r="82" spans="2:22" x14ac:dyDescent="0.25">
      <c r="B82" s="102"/>
      <c r="C82" s="9"/>
      <c r="D82" s="9"/>
      <c r="E82" s="9"/>
      <c r="F82" s="88"/>
      <c r="G82" s="105"/>
      <c r="H82" s="49"/>
      <c r="I82" s="9"/>
      <c r="J82" s="49"/>
      <c r="K82" s="49"/>
      <c r="L82" s="53"/>
      <c r="N82"/>
      <c r="O82"/>
      <c r="P82"/>
      <c r="Q82"/>
      <c r="R82"/>
      <c r="S82"/>
      <c r="T82"/>
      <c r="U82"/>
      <c r="V82"/>
    </row>
    <row r="83" spans="2:22" x14ac:dyDescent="0.25">
      <c r="B83" s="102"/>
      <c r="C83" s="9"/>
      <c r="D83" s="9"/>
      <c r="E83" s="9"/>
      <c r="F83" s="88"/>
      <c r="G83" s="105"/>
      <c r="H83" s="49"/>
      <c r="I83" s="9"/>
      <c r="J83" s="49"/>
      <c r="K83" s="49"/>
      <c r="L83" s="53"/>
      <c r="N83"/>
      <c r="O83"/>
      <c r="P83"/>
      <c r="Q83"/>
      <c r="R83"/>
      <c r="S83"/>
      <c r="T83"/>
      <c r="U83"/>
      <c r="V83"/>
    </row>
    <row r="84" spans="2:22" x14ac:dyDescent="0.25">
      <c r="B84" s="102"/>
      <c r="C84" s="9"/>
      <c r="D84" s="9"/>
      <c r="E84" s="9"/>
      <c r="F84" s="88"/>
      <c r="G84" s="105"/>
      <c r="H84" s="49"/>
      <c r="I84" s="9"/>
      <c r="J84" s="49"/>
      <c r="K84" s="49"/>
      <c r="L84" s="53"/>
      <c r="N84"/>
      <c r="O84"/>
      <c r="P84"/>
      <c r="Q84"/>
      <c r="R84"/>
      <c r="S84"/>
      <c r="T84"/>
      <c r="U84"/>
      <c r="V84"/>
    </row>
    <row r="85" spans="2:22" x14ac:dyDescent="0.25">
      <c r="B85" s="102"/>
      <c r="C85" s="9"/>
      <c r="D85" s="9"/>
      <c r="E85" s="9"/>
      <c r="F85" s="88"/>
      <c r="G85" s="105"/>
      <c r="H85" s="49"/>
      <c r="I85" s="9"/>
      <c r="J85" s="49"/>
      <c r="K85" s="49"/>
      <c r="L85" s="53"/>
      <c r="N85"/>
      <c r="O85"/>
      <c r="P85"/>
      <c r="Q85"/>
      <c r="R85"/>
      <c r="S85"/>
      <c r="T85"/>
      <c r="U85"/>
      <c r="V85"/>
    </row>
    <row r="86" spans="2:22" x14ac:dyDescent="0.25">
      <c r="B86" s="102"/>
      <c r="C86" s="9"/>
      <c r="D86" s="9"/>
      <c r="E86" s="9"/>
      <c r="F86" s="88"/>
      <c r="G86" s="105"/>
      <c r="H86" s="49"/>
      <c r="I86" s="9"/>
      <c r="J86" s="49"/>
      <c r="K86" s="49"/>
      <c r="L86" s="53"/>
      <c r="N86"/>
      <c r="O86"/>
      <c r="P86"/>
      <c r="Q86"/>
      <c r="R86"/>
      <c r="S86"/>
      <c r="T86"/>
      <c r="U86"/>
      <c r="V86"/>
    </row>
    <row r="87" spans="2:22" x14ac:dyDescent="0.25">
      <c r="B87" s="102"/>
      <c r="C87" s="9"/>
      <c r="D87" s="9"/>
      <c r="E87" s="9"/>
      <c r="F87" s="88"/>
      <c r="G87" s="105"/>
      <c r="H87" s="49"/>
      <c r="I87" s="9"/>
      <c r="J87" s="49"/>
      <c r="K87" s="49"/>
      <c r="L87" s="53"/>
      <c r="N87"/>
      <c r="O87"/>
      <c r="P87"/>
      <c r="Q87"/>
      <c r="R87"/>
      <c r="S87"/>
      <c r="T87"/>
      <c r="U87"/>
      <c r="V87"/>
    </row>
    <row r="88" spans="2:22" x14ac:dyDescent="0.25">
      <c r="B88" s="102"/>
      <c r="C88" s="9"/>
      <c r="D88" s="9"/>
      <c r="E88" s="9"/>
      <c r="F88" s="88"/>
      <c r="G88" s="105"/>
      <c r="H88" s="49"/>
      <c r="I88" s="9"/>
      <c r="J88" s="49"/>
      <c r="K88" s="49"/>
      <c r="L88" s="53"/>
      <c r="N88"/>
      <c r="O88"/>
      <c r="P88"/>
      <c r="Q88"/>
      <c r="R88"/>
      <c r="S88"/>
      <c r="T88"/>
      <c r="U88"/>
      <c r="V88"/>
    </row>
    <row r="89" spans="2:22" x14ac:dyDescent="0.25">
      <c r="B89" s="102"/>
      <c r="C89" s="9"/>
      <c r="D89" s="9"/>
      <c r="E89" s="9"/>
      <c r="F89" s="88"/>
      <c r="G89" s="105"/>
      <c r="H89" s="49"/>
      <c r="I89" s="9"/>
      <c r="J89" s="49"/>
      <c r="K89" s="49"/>
      <c r="L89" s="53"/>
      <c r="N89"/>
      <c r="O89"/>
      <c r="P89"/>
      <c r="Q89"/>
      <c r="R89"/>
      <c r="S89"/>
      <c r="T89"/>
      <c r="U89"/>
      <c r="V89"/>
    </row>
    <row r="90" spans="2:22" x14ac:dyDescent="0.25">
      <c r="B90" s="102"/>
      <c r="C90" s="9"/>
      <c r="D90" s="9"/>
      <c r="E90" s="9"/>
      <c r="F90" s="88"/>
      <c r="G90" s="105"/>
      <c r="H90" s="49"/>
      <c r="I90" s="9"/>
      <c r="J90" s="49"/>
      <c r="K90" s="49"/>
      <c r="L90" s="53"/>
      <c r="N90"/>
      <c r="O90"/>
      <c r="P90"/>
      <c r="Q90"/>
      <c r="R90"/>
      <c r="S90"/>
      <c r="T90"/>
      <c r="U90"/>
      <c r="V90"/>
    </row>
    <row r="91" spans="2:22" x14ac:dyDescent="0.25">
      <c r="B91" s="102"/>
      <c r="C91" s="9"/>
      <c r="D91" s="9"/>
      <c r="E91" s="9"/>
      <c r="F91" s="88"/>
      <c r="G91" s="105"/>
      <c r="H91" s="49"/>
      <c r="I91" s="9"/>
      <c r="J91" s="49"/>
      <c r="K91" s="49"/>
      <c r="L91" s="53"/>
      <c r="N91"/>
      <c r="O91"/>
      <c r="P91"/>
      <c r="Q91"/>
      <c r="R91"/>
      <c r="S91"/>
      <c r="T91"/>
      <c r="U91"/>
      <c r="V91"/>
    </row>
    <row r="92" spans="2:22" x14ac:dyDescent="0.25">
      <c r="B92" s="102"/>
      <c r="C92" s="9"/>
      <c r="D92" s="9"/>
      <c r="E92" s="9"/>
      <c r="F92" s="88"/>
      <c r="G92" s="105"/>
      <c r="H92" s="49"/>
      <c r="I92" s="9"/>
      <c r="J92" s="49"/>
      <c r="K92" s="49"/>
      <c r="L92" s="53"/>
      <c r="O92"/>
      <c r="P92"/>
      <c r="Q92"/>
      <c r="R92"/>
      <c r="S92"/>
      <c r="T92"/>
      <c r="U92"/>
      <c r="V92"/>
    </row>
    <row r="93" spans="2:22" x14ac:dyDescent="0.25">
      <c r="B93" s="102"/>
      <c r="C93" s="9"/>
      <c r="D93" s="9"/>
      <c r="E93" s="9"/>
      <c r="F93" s="88"/>
      <c r="G93" s="105"/>
      <c r="H93" s="49"/>
      <c r="I93" s="9"/>
      <c r="J93" s="49"/>
      <c r="K93" s="49"/>
      <c r="L93" s="53"/>
      <c r="O93"/>
      <c r="P93"/>
      <c r="Q93"/>
      <c r="R93"/>
      <c r="S93"/>
      <c r="T93"/>
      <c r="U93"/>
      <c r="V93"/>
    </row>
    <row r="94" spans="2:22" x14ac:dyDescent="0.25">
      <c r="B94" s="102"/>
      <c r="C94" s="9"/>
      <c r="D94" s="53"/>
      <c r="E94" s="49"/>
      <c r="F94" s="53"/>
      <c r="G94" s="53"/>
      <c r="H94" s="49"/>
      <c r="I94" s="53"/>
      <c r="J94" s="53"/>
      <c r="K94" s="53"/>
      <c r="L94" s="53"/>
      <c r="O94"/>
      <c r="P94"/>
      <c r="Q94"/>
      <c r="R94"/>
      <c r="S94"/>
      <c r="T94"/>
      <c r="U94"/>
      <c r="V94"/>
    </row>
    <row r="95" spans="2:22" x14ac:dyDescent="0.25">
      <c r="B95" s="102"/>
      <c r="C95" s="9"/>
      <c r="D95" s="53"/>
      <c r="E95" s="49"/>
      <c r="F95" s="53"/>
      <c r="G95" s="53"/>
      <c r="H95" s="49"/>
      <c r="I95" s="53"/>
      <c r="J95" s="53"/>
      <c r="K95" s="53"/>
      <c r="L95" s="53"/>
      <c r="O95"/>
      <c r="P95"/>
      <c r="Q95"/>
      <c r="R95"/>
      <c r="S95"/>
      <c r="T95"/>
      <c r="U95"/>
      <c r="V95"/>
    </row>
    <row r="96" spans="2:22" x14ac:dyDescent="0.25">
      <c r="B96" s="102"/>
      <c r="C96" s="9"/>
      <c r="D96" s="53"/>
      <c r="E96" s="49"/>
      <c r="F96" s="53"/>
      <c r="G96" s="53"/>
      <c r="H96" s="49"/>
      <c r="I96" s="53"/>
      <c r="J96" s="53"/>
      <c r="K96" s="53"/>
      <c r="L96" s="53"/>
      <c r="O96"/>
      <c r="P96"/>
      <c r="Q96"/>
      <c r="R96"/>
      <c r="S96"/>
      <c r="T96"/>
      <c r="U96"/>
      <c r="V96"/>
    </row>
    <row r="97" spans="2:22" x14ac:dyDescent="0.25">
      <c r="B97" s="102"/>
      <c r="C97" s="9"/>
      <c r="D97" s="53"/>
      <c r="E97" s="49"/>
      <c r="F97" s="53"/>
      <c r="G97" s="53"/>
      <c r="H97" s="49"/>
      <c r="I97" s="53"/>
      <c r="J97" s="53"/>
      <c r="K97" s="53"/>
      <c r="L97" s="53"/>
      <c r="O97"/>
      <c r="P97"/>
      <c r="Q97"/>
      <c r="R97"/>
      <c r="S97"/>
      <c r="T97"/>
      <c r="U97"/>
      <c r="V97"/>
    </row>
    <row r="98" spans="2:22" x14ac:dyDescent="0.25">
      <c r="B98" s="102"/>
      <c r="C98" s="9"/>
      <c r="D98" s="53"/>
      <c r="E98" s="49"/>
      <c r="F98" s="53"/>
      <c r="G98" s="53"/>
      <c r="H98" s="49"/>
      <c r="I98" s="53"/>
      <c r="J98" s="53"/>
      <c r="K98" s="53"/>
      <c r="L98" s="53"/>
      <c r="O98"/>
      <c r="P98"/>
      <c r="Q98"/>
      <c r="R98"/>
      <c r="S98"/>
      <c r="T98"/>
      <c r="U98"/>
      <c r="V98"/>
    </row>
    <row r="99" spans="2:22" x14ac:dyDescent="0.25">
      <c r="B99" s="102"/>
      <c r="C99" s="9"/>
      <c r="D99" s="53"/>
      <c r="E99" s="49"/>
      <c r="F99" s="53"/>
      <c r="G99" s="53"/>
      <c r="H99" s="49"/>
      <c r="I99" s="53"/>
      <c r="J99" s="53"/>
      <c r="K99" s="53"/>
      <c r="L99" s="53"/>
      <c r="O99"/>
      <c r="P99"/>
      <c r="Q99"/>
      <c r="R99"/>
      <c r="S99"/>
      <c r="T99"/>
      <c r="U99"/>
      <c r="V99"/>
    </row>
    <row r="100" spans="2:22" x14ac:dyDescent="0.25">
      <c r="C100" s="3"/>
      <c r="D100" s="92"/>
      <c r="E100" s="93"/>
      <c r="F100" s="92"/>
      <c r="G100" s="92"/>
      <c r="H100" s="93"/>
      <c r="I100" s="92"/>
      <c r="J100" s="92"/>
      <c r="K100" s="92"/>
      <c r="L100" s="92"/>
      <c r="O100"/>
      <c r="P100"/>
      <c r="Q100"/>
      <c r="R100"/>
      <c r="S100"/>
      <c r="T100"/>
      <c r="U100"/>
      <c r="V100"/>
    </row>
    <row r="101" spans="2:22" x14ac:dyDescent="0.25">
      <c r="C101" s="3"/>
      <c r="D101" s="92"/>
      <c r="E101" s="93"/>
      <c r="F101" s="92"/>
      <c r="G101" s="92"/>
      <c r="H101" s="93"/>
      <c r="I101" s="92"/>
      <c r="J101" s="92"/>
      <c r="K101" s="92"/>
      <c r="L101" s="92"/>
      <c r="O101"/>
      <c r="P101"/>
      <c r="Q101"/>
      <c r="R101"/>
      <c r="S101"/>
      <c r="T101"/>
      <c r="U101"/>
      <c r="V101"/>
    </row>
    <row r="102" spans="2:22" x14ac:dyDescent="0.25">
      <c r="C102" s="3"/>
      <c r="D102" s="92"/>
      <c r="E102" s="93"/>
      <c r="F102" s="92"/>
      <c r="G102" s="92"/>
      <c r="H102" s="93"/>
      <c r="I102" s="92"/>
      <c r="J102" s="92"/>
      <c r="K102" s="92"/>
      <c r="L102" s="92"/>
      <c r="O102"/>
      <c r="P102"/>
      <c r="Q102"/>
      <c r="R102"/>
      <c r="S102"/>
      <c r="T102"/>
      <c r="U102"/>
      <c r="V102"/>
    </row>
    <row r="103" spans="2:22" x14ac:dyDescent="0.25">
      <c r="C103" s="3"/>
      <c r="D103" s="92"/>
      <c r="E103" s="93"/>
      <c r="F103" s="92"/>
      <c r="G103" s="92"/>
      <c r="H103" s="93"/>
      <c r="I103" s="92"/>
      <c r="J103" s="92"/>
      <c r="K103" s="92"/>
      <c r="L103" s="92"/>
      <c r="O103"/>
      <c r="P103"/>
      <c r="Q103"/>
      <c r="R103"/>
      <c r="S103"/>
      <c r="T103"/>
      <c r="U103"/>
      <c r="V103"/>
    </row>
    <row r="104" spans="2:22" x14ac:dyDescent="0.25">
      <c r="C104" s="3"/>
      <c r="D104" s="92"/>
      <c r="E104" s="93"/>
      <c r="F104" s="92"/>
      <c r="G104" s="92"/>
      <c r="H104" s="93"/>
      <c r="I104" s="92"/>
      <c r="J104" s="92"/>
      <c r="K104" s="92"/>
      <c r="L104" s="92"/>
      <c r="O104"/>
      <c r="P104"/>
      <c r="Q104"/>
      <c r="R104"/>
      <c r="S104"/>
      <c r="T104"/>
      <c r="U104"/>
      <c r="V104"/>
    </row>
    <row r="105" spans="2:22" x14ac:dyDescent="0.25">
      <c r="C105" s="3"/>
      <c r="D105" s="92"/>
      <c r="E105" s="93"/>
      <c r="F105" s="92"/>
      <c r="G105" s="92"/>
      <c r="H105" s="93"/>
      <c r="I105" s="92"/>
      <c r="J105" s="92"/>
      <c r="K105" s="92"/>
      <c r="L105" s="92"/>
      <c r="O105"/>
      <c r="P105"/>
      <c r="Q105"/>
      <c r="R105"/>
      <c r="S105"/>
      <c r="T105"/>
      <c r="U105"/>
      <c r="V105"/>
    </row>
    <row r="106" spans="2:22" x14ac:dyDescent="0.25">
      <c r="C106" s="3"/>
      <c r="D106" s="92"/>
      <c r="E106" s="93"/>
      <c r="F106" s="92"/>
      <c r="G106" s="92"/>
      <c r="H106" s="93"/>
      <c r="I106" s="92"/>
      <c r="J106" s="92"/>
      <c r="K106" s="92"/>
      <c r="L106" s="92"/>
      <c r="O106"/>
      <c r="P106"/>
      <c r="Q106"/>
      <c r="R106"/>
      <c r="S106"/>
      <c r="T106"/>
      <c r="U106"/>
      <c r="V106"/>
    </row>
    <row r="107" spans="2:22" x14ac:dyDescent="0.25">
      <c r="C107" s="3"/>
      <c r="D107" s="92"/>
      <c r="E107" s="93"/>
      <c r="F107" s="92"/>
      <c r="G107" s="92"/>
      <c r="H107" s="93"/>
      <c r="I107" s="92"/>
      <c r="J107" s="92"/>
      <c r="K107" s="92"/>
      <c r="L107" s="92"/>
      <c r="O107"/>
      <c r="P107"/>
      <c r="Q107"/>
      <c r="R107"/>
      <c r="S107"/>
      <c r="T107"/>
      <c r="U107"/>
      <c r="V107"/>
    </row>
    <row r="108" spans="2:22" x14ac:dyDescent="0.25">
      <c r="C108" s="3"/>
      <c r="D108" s="92"/>
      <c r="E108" s="93"/>
      <c r="F108" s="92"/>
      <c r="G108" s="92"/>
      <c r="H108" s="93"/>
      <c r="I108" s="92"/>
      <c r="J108" s="92"/>
      <c r="K108" s="92"/>
      <c r="L108" s="92"/>
      <c r="O108"/>
      <c r="P108"/>
      <c r="Q108"/>
      <c r="R108"/>
      <c r="S108"/>
      <c r="T108"/>
      <c r="U108"/>
      <c r="V108"/>
    </row>
    <row r="109" spans="2:22" x14ac:dyDescent="0.25">
      <c r="C109" s="3"/>
      <c r="D109" s="92"/>
      <c r="E109" s="93"/>
      <c r="F109" s="92"/>
      <c r="G109" s="92"/>
      <c r="H109" s="93"/>
      <c r="I109" s="92"/>
      <c r="J109" s="92"/>
      <c r="K109" s="92"/>
      <c r="L109" s="92"/>
      <c r="O109"/>
      <c r="P109"/>
      <c r="Q109"/>
      <c r="R109"/>
      <c r="S109"/>
      <c r="T109"/>
      <c r="U109"/>
      <c r="V109"/>
    </row>
    <row r="110" spans="2:22" x14ac:dyDescent="0.25">
      <c r="C110" s="3"/>
      <c r="D110" s="92"/>
      <c r="E110" s="93"/>
      <c r="F110" s="92"/>
      <c r="G110" s="92"/>
      <c r="H110" s="93"/>
      <c r="I110" s="92"/>
      <c r="J110" s="92"/>
      <c r="K110" s="92"/>
      <c r="L110" s="92"/>
      <c r="O110"/>
      <c r="P110"/>
      <c r="Q110"/>
      <c r="R110"/>
      <c r="S110"/>
      <c r="T110"/>
      <c r="U110"/>
      <c r="V110"/>
    </row>
    <row r="111" spans="2:22" x14ac:dyDescent="0.25">
      <c r="C111" s="3"/>
      <c r="D111" s="92"/>
      <c r="E111" s="93"/>
      <c r="F111" s="92"/>
      <c r="G111" s="92"/>
      <c r="H111" s="93"/>
      <c r="I111" s="92"/>
      <c r="J111" s="92"/>
      <c r="K111" s="92"/>
      <c r="L111" s="92"/>
      <c r="O111"/>
      <c r="P111"/>
      <c r="Q111"/>
      <c r="R111"/>
      <c r="S111"/>
      <c r="T111"/>
      <c r="U111"/>
      <c r="V111"/>
    </row>
    <row r="112" spans="2:22" x14ac:dyDescent="0.25">
      <c r="C112" s="3"/>
      <c r="D112" s="92"/>
      <c r="E112" s="93"/>
      <c r="F112" s="92"/>
      <c r="G112" s="92"/>
      <c r="H112" s="93"/>
      <c r="I112" s="92"/>
      <c r="J112" s="92"/>
      <c r="K112" s="92"/>
      <c r="L112" s="92"/>
    </row>
    <row r="113" spans="3:12" x14ac:dyDescent="0.25">
      <c r="C113" s="3"/>
      <c r="D113" s="92"/>
      <c r="E113" s="93"/>
      <c r="F113" s="92"/>
      <c r="G113" s="92"/>
      <c r="H113" s="93"/>
      <c r="I113" s="92"/>
      <c r="J113" s="92"/>
      <c r="K113" s="92"/>
      <c r="L113" s="92"/>
    </row>
  </sheetData>
  <phoneticPr fontId="3" type="noConversion"/>
  <pageMargins left="0.78740157499999996" right="0.78740157499999996" top="0.984251969" bottom="0.984251969" header="0.5" footer="0.5"/>
  <pageSetup paperSize="8" scale="63" orientation="landscape" horizontalDpi="200" verticalDpi="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workbookViewId="0"/>
  </sheetViews>
  <sheetFormatPr baseColWidth="10" defaultRowHeight="13.2" x14ac:dyDescent="0.25"/>
  <cols>
    <col min="1" max="1" width="121" customWidth="1"/>
    <col min="2" max="3" width="13.33203125" bestFit="1" customWidth="1"/>
    <col min="4" max="4" width="12.5546875" customWidth="1"/>
    <col min="5" max="5" width="11.6640625" customWidth="1"/>
  </cols>
  <sheetData>
    <row r="1" spans="1:7" ht="15.6" x14ac:dyDescent="0.3">
      <c r="A1" s="123" t="s">
        <v>525</v>
      </c>
      <c r="B1" s="270"/>
      <c r="C1" s="270"/>
      <c r="D1" s="270"/>
      <c r="E1" s="270"/>
    </row>
    <row r="3" spans="1:7" x14ac:dyDescent="0.25">
      <c r="A3" s="333" t="s">
        <v>526</v>
      </c>
      <c r="B3" s="254"/>
      <c r="C3" s="254"/>
      <c r="D3" s="254"/>
      <c r="E3" s="254"/>
      <c r="F3" s="254"/>
      <c r="G3" s="254"/>
    </row>
    <row r="4" spans="1:7" ht="39.6" x14ac:dyDescent="0.25">
      <c r="A4" s="334" t="s">
        <v>543</v>
      </c>
      <c r="B4" s="254"/>
      <c r="C4" s="254"/>
      <c r="D4" s="254"/>
      <c r="E4" s="254"/>
      <c r="F4" s="254"/>
      <c r="G4" s="254"/>
    </row>
    <row r="5" spans="1:7" x14ac:dyDescent="0.25">
      <c r="B5" s="254"/>
      <c r="C5" s="254"/>
      <c r="D5" s="254"/>
      <c r="E5" s="254"/>
      <c r="F5" s="254"/>
      <c r="G5" s="254"/>
    </row>
    <row r="6" spans="1:7" x14ac:dyDescent="0.25">
      <c r="A6" s="2" t="s">
        <v>527</v>
      </c>
      <c r="B6" s="254"/>
      <c r="C6" s="254"/>
      <c r="D6" s="254"/>
      <c r="E6" s="254"/>
      <c r="F6" s="254"/>
      <c r="G6" s="254"/>
    </row>
    <row r="7" spans="1:7" x14ac:dyDescent="0.25">
      <c r="A7" s="334" t="s">
        <v>528</v>
      </c>
      <c r="B7" s="254"/>
      <c r="C7" s="254"/>
      <c r="D7" s="254"/>
      <c r="E7" s="254"/>
      <c r="F7" s="254"/>
      <c r="G7" s="254"/>
    </row>
    <row r="8" spans="1:7" x14ac:dyDescent="0.25">
      <c r="B8" s="254"/>
      <c r="C8" s="254"/>
      <c r="D8" s="254"/>
      <c r="E8" s="254"/>
      <c r="F8" s="254"/>
      <c r="G8" s="254"/>
    </row>
    <row r="9" spans="1:7" x14ac:dyDescent="0.25">
      <c r="A9" s="2" t="s">
        <v>529</v>
      </c>
      <c r="B9" s="254"/>
      <c r="C9" s="254"/>
      <c r="D9" s="254"/>
      <c r="E9" s="254"/>
      <c r="F9" s="254"/>
      <c r="G9" s="254"/>
    </row>
    <row r="10" spans="1:7" ht="158.4" x14ac:dyDescent="0.25">
      <c r="A10" s="344" t="s">
        <v>542</v>
      </c>
      <c r="B10" s="254"/>
      <c r="C10" s="254"/>
      <c r="D10" s="254"/>
      <c r="E10" s="254"/>
      <c r="F10" s="254"/>
      <c r="G10" s="254"/>
    </row>
    <row r="11" spans="1:7" x14ac:dyDescent="0.25">
      <c r="A11" s="345" t="s">
        <v>544</v>
      </c>
      <c r="B11" s="254"/>
      <c r="C11" s="254"/>
      <c r="D11" s="254"/>
      <c r="E11" s="254"/>
      <c r="F11" s="254"/>
      <c r="G11" s="254"/>
    </row>
    <row r="12" spans="1:7" ht="316.8" x14ac:dyDescent="0.25">
      <c r="A12" s="346" t="s">
        <v>545</v>
      </c>
      <c r="B12" s="254"/>
      <c r="C12" s="254"/>
      <c r="D12" s="254"/>
      <c r="E12" s="254"/>
      <c r="F12" s="254"/>
      <c r="G12" s="254"/>
    </row>
    <row r="13" spans="1:7" x14ac:dyDescent="0.25">
      <c r="A13" s="335"/>
      <c r="B13" s="254"/>
      <c r="C13" s="254"/>
      <c r="D13" s="254"/>
      <c r="E13" s="254"/>
      <c r="F13" s="254"/>
      <c r="G13" s="254"/>
    </row>
    <row r="14" spans="1:7" x14ac:dyDescent="0.25">
      <c r="A14" s="2" t="s">
        <v>539</v>
      </c>
      <c r="B14" s="254"/>
      <c r="C14" s="254"/>
      <c r="D14" s="254"/>
      <c r="E14" s="254"/>
      <c r="F14" s="254"/>
      <c r="G14" s="254"/>
    </row>
    <row r="15" spans="1:7" ht="26.4" x14ac:dyDescent="0.25">
      <c r="A15" s="334" t="s">
        <v>530</v>
      </c>
      <c r="B15" s="254"/>
      <c r="C15" s="254"/>
      <c r="D15" s="254"/>
      <c r="E15" s="254"/>
      <c r="F15" s="254"/>
      <c r="G15" s="254"/>
    </row>
    <row r="16" spans="1:7" ht="26.4" x14ac:dyDescent="0.25">
      <c r="A16" s="334" t="s">
        <v>531</v>
      </c>
      <c r="B16" s="254"/>
      <c r="C16" s="254"/>
      <c r="D16" s="254"/>
      <c r="E16" s="254"/>
      <c r="F16" s="254"/>
      <c r="G16" s="254"/>
    </row>
    <row r="17" spans="1:7" ht="26.4" x14ac:dyDescent="0.25">
      <c r="A17" s="334" t="s">
        <v>532</v>
      </c>
      <c r="B17" s="254"/>
      <c r="C17" s="254"/>
      <c r="D17" s="254"/>
      <c r="E17" s="254"/>
      <c r="F17" s="254"/>
      <c r="G17" s="254"/>
    </row>
    <row r="18" spans="1:7" x14ac:dyDescent="0.25">
      <c r="A18" s="334" t="s">
        <v>535</v>
      </c>
      <c r="B18" s="254"/>
      <c r="C18" s="254"/>
      <c r="D18" s="254"/>
      <c r="E18" s="254"/>
      <c r="F18" s="254"/>
      <c r="G18" s="254"/>
    </row>
    <row r="19" spans="1:7" ht="26.4" x14ac:dyDescent="0.25">
      <c r="A19" s="335" t="s">
        <v>537</v>
      </c>
      <c r="B19" s="254"/>
      <c r="C19" s="254"/>
      <c r="D19" s="254"/>
      <c r="E19" s="254"/>
      <c r="F19" s="254"/>
      <c r="G19" s="254"/>
    </row>
    <row r="20" spans="1:7" ht="26.4" x14ac:dyDescent="0.25">
      <c r="A20" s="335" t="s">
        <v>538</v>
      </c>
      <c r="C20" s="260"/>
      <c r="E20" s="254"/>
      <c r="F20" s="254"/>
      <c r="G20" s="254"/>
    </row>
    <row r="21" spans="1:7" ht="26.4" x14ac:dyDescent="0.25">
      <c r="A21" s="335" t="s">
        <v>541</v>
      </c>
      <c r="C21" s="259"/>
      <c r="E21" s="254"/>
      <c r="F21" s="254"/>
      <c r="G21" s="305"/>
    </row>
    <row r="22" spans="1:7" x14ac:dyDescent="0.25">
      <c r="A22" s="335"/>
      <c r="B22" s="254"/>
      <c r="C22" s="254"/>
      <c r="D22" s="254"/>
      <c r="E22" s="254"/>
      <c r="F22" s="254"/>
      <c r="G22" s="254"/>
    </row>
    <row r="23" spans="1:7" x14ac:dyDescent="0.25">
      <c r="A23" s="335"/>
      <c r="B23" s="254"/>
      <c r="C23" s="254"/>
      <c r="D23" s="254"/>
      <c r="E23" s="254"/>
      <c r="F23" s="254"/>
      <c r="G23" s="254"/>
    </row>
    <row r="24" spans="1:7" x14ac:dyDescent="0.25">
      <c r="A24" s="38" t="s">
        <v>540</v>
      </c>
      <c r="B24" s="254"/>
      <c r="C24" s="254"/>
      <c r="D24" s="254"/>
      <c r="E24" s="254"/>
      <c r="F24" s="254"/>
      <c r="G24" s="254"/>
    </row>
    <row r="25" spans="1:7" x14ac:dyDescent="0.25">
      <c r="A25" s="334" t="s">
        <v>536</v>
      </c>
      <c r="B25" s="254"/>
      <c r="C25" s="254"/>
      <c r="D25" s="254"/>
      <c r="E25" s="254"/>
      <c r="F25" s="254"/>
      <c r="G25" s="254"/>
    </row>
    <row r="26" spans="1:7" x14ac:dyDescent="0.25">
      <c r="A26" s="335"/>
      <c r="B26" s="336"/>
      <c r="C26" s="254"/>
      <c r="D26" s="254"/>
      <c r="E26" s="254"/>
      <c r="F26" s="254"/>
      <c r="G26" s="254"/>
    </row>
    <row r="27" spans="1:7" x14ac:dyDescent="0.25">
      <c r="A27" s="335"/>
      <c r="B27" s="254"/>
      <c r="C27" s="254"/>
      <c r="D27" s="254"/>
      <c r="E27" s="254"/>
      <c r="F27" s="254"/>
      <c r="G27" s="254"/>
    </row>
    <row r="28" spans="1:7" x14ac:dyDescent="0.25">
      <c r="A28" s="335"/>
      <c r="B28" s="254"/>
      <c r="C28" s="254"/>
      <c r="D28" s="254"/>
      <c r="E28" s="254"/>
      <c r="F28" s="254"/>
      <c r="G28" s="254"/>
    </row>
    <row r="29" spans="1:7" x14ac:dyDescent="0.25">
      <c r="A29" s="335"/>
      <c r="B29" s="254"/>
      <c r="C29" s="254"/>
      <c r="D29" s="254"/>
      <c r="E29" s="254"/>
      <c r="F29" s="254"/>
      <c r="G29" s="254"/>
    </row>
    <row r="30" spans="1:7" x14ac:dyDescent="0.25">
      <c r="A30" s="335"/>
      <c r="B30" s="254"/>
      <c r="C30" s="254"/>
      <c r="D30" s="254"/>
      <c r="E30" s="254"/>
      <c r="F30" s="254"/>
      <c r="G30" s="254"/>
    </row>
    <row r="31" spans="1:7" x14ac:dyDescent="0.25">
      <c r="A31" s="335"/>
      <c r="B31" s="254"/>
      <c r="C31" s="254"/>
      <c r="D31" s="254"/>
      <c r="E31" s="254"/>
      <c r="F31" s="254"/>
      <c r="G31" s="254"/>
    </row>
    <row r="32" spans="1:7" x14ac:dyDescent="0.25">
      <c r="A32" s="335"/>
    </row>
    <row r="33" spans="1:1" x14ac:dyDescent="0.25">
      <c r="A33" s="335"/>
    </row>
    <row r="34" spans="1:1" x14ac:dyDescent="0.25">
      <c r="A34" s="335"/>
    </row>
    <row r="35" spans="1:1" x14ac:dyDescent="0.25">
      <c r="A35" s="335"/>
    </row>
    <row r="36" spans="1:1" x14ac:dyDescent="0.25">
      <c r="A36" s="335"/>
    </row>
    <row r="37" spans="1:1" x14ac:dyDescent="0.25">
      <c r="A37" s="335"/>
    </row>
    <row r="38" spans="1:1" x14ac:dyDescent="0.25">
      <c r="A38" s="335"/>
    </row>
    <row r="39" spans="1:1" x14ac:dyDescent="0.25">
      <c r="A39" s="335"/>
    </row>
    <row r="40" spans="1:1" x14ac:dyDescent="0.25">
      <c r="A40" s="335"/>
    </row>
    <row r="41" spans="1:1" x14ac:dyDescent="0.25">
      <c r="A41" s="335"/>
    </row>
    <row r="42" spans="1:1" x14ac:dyDescent="0.25">
      <c r="A42" s="335"/>
    </row>
    <row r="43" spans="1:1" x14ac:dyDescent="0.25">
      <c r="A43" s="335"/>
    </row>
    <row r="44" spans="1:1" x14ac:dyDescent="0.25">
      <c r="A44" s="335"/>
    </row>
    <row r="45" spans="1:1" x14ac:dyDescent="0.25">
      <c r="A45" s="335"/>
    </row>
    <row r="46" spans="1:1" x14ac:dyDescent="0.25">
      <c r="A46" s="335"/>
    </row>
    <row r="47" spans="1:1" x14ac:dyDescent="0.25">
      <c r="A47" s="335"/>
    </row>
    <row r="48" spans="1:1" x14ac:dyDescent="0.25">
      <c r="A48" s="335"/>
    </row>
    <row r="49" spans="1:1" x14ac:dyDescent="0.25">
      <c r="A49" s="335"/>
    </row>
    <row r="50" spans="1:1" x14ac:dyDescent="0.25">
      <c r="A50" s="335"/>
    </row>
    <row r="51" spans="1:1" x14ac:dyDescent="0.25">
      <c r="A51" s="335"/>
    </row>
    <row r="52" spans="1:1" x14ac:dyDescent="0.25">
      <c r="A52" s="335"/>
    </row>
    <row r="53" spans="1:1" x14ac:dyDescent="0.25">
      <c r="A53" s="335"/>
    </row>
    <row r="54" spans="1:1" x14ac:dyDescent="0.25">
      <c r="A54" s="335"/>
    </row>
    <row r="55" spans="1:1" x14ac:dyDescent="0.25">
      <c r="A55" s="335"/>
    </row>
    <row r="56" spans="1:1" x14ac:dyDescent="0.25">
      <c r="A56" s="335"/>
    </row>
    <row r="57" spans="1:1" x14ac:dyDescent="0.25">
      <c r="A57" s="335"/>
    </row>
    <row r="58" spans="1:1" x14ac:dyDescent="0.25">
      <c r="A58" s="335"/>
    </row>
    <row r="59" spans="1:1" x14ac:dyDescent="0.25">
      <c r="A59" s="335"/>
    </row>
    <row r="60" spans="1:1" x14ac:dyDescent="0.25">
      <c r="A60" s="335"/>
    </row>
    <row r="61" spans="1:1" x14ac:dyDescent="0.25">
      <c r="A61" s="335"/>
    </row>
    <row r="62" spans="1:1" x14ac:dyDescent="0.25">
      <c r="A62" s="335"/>
    </row>
    <row r="63" spans="1:1" x14ac:dyDescent="0.25">
      <c r="A63" s="335"/>
    </row>
    <row r="64" spans="1:1" x14ac:dyDescent="0.25">
      <c r="A64" s="335"/>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E1:S61"/>
  <sheetViews>
    <sheetView topLeftCell="A7" zoomScale="90" zoomScaleNormal="90" workbookViewId="0">
      <selection activeCell="A43" sqref="A43"/>
    </sheetView>
  </sheetViews>
  <sheetFormatPr baseColWidth="10" defaultColWidth="11.44140625" defaultRowHeight="13.2" x14ac:dyDescent="0.25"/>
  <cols>
    <col min="1" max="1" width="5.6640625" customWidth="1"/>
    <col min="2" max="2" width="39.88671875" customWidth="1"/>
    <col min="3" max="3" width="15.109375" bestFit="1" customWidth="1"/>
    <col min="4" max="4" width="15.109375" customWidth="1"/>
    <col min="5" max="5" width="8.109375" style="10" customWidth="1"/>
    <col min="6" max="6" width="13.88671875" customWidth="1"/>
    <col min="7" max="7" width="13.33203125" bestFit="1" customWidth="1"/>
    <col min="8" max="8" width="16.88671875" customWidth="1"/>
    <col min="11" max="11" width="3.33203125" customWidth="1"/>
    <col min="12" max="12" width="23.88671875" style="71" hidden="1" customWidth="1"/>
    <col min="13" max="13" width="7.88671875" customWidth="1"/>
    <col min="14" max="14" width="14" style="251" customWidth="1"/>
    <col min="15" max="15" width="5.5546875" customWidth="1"/>
    <col min="16" max="16" width="4.33203125" customWidth="1"/>
  </cols>
  <sheetData>
    <row r="1" spans="5:19" x14ac:dyDescent="0.25">
      <c r="E1"/>
      <c r="L1"/>
      <c r="N1"/>
    </row>
    <row r="2" spans="5:19" ht="25.5" customHeight="1" x14ac:dyDescent="0.25">
      <c r="E2"/>
      <c r="L2"/>
      <c r="N2"/>
    </row>
    <row r="3" spans="5:19" x14ac:dyDescent="0.25">
      <c r="E3"/>
      <c r="L3"/>
      <c r="N3"/>
    </row>
    <row r="4" spans="5:19" x14ac:dyDescent="0.25">
      <c r="E4"/>
      <c r="L4"/>
      <c r="N4"/>
    </row>
    <row r="5" spans="5:19" x14ac:dyDescent="0.25">
      <c r="E5"/>
      <c r="L5"/>
      <c r="N5"/>
    </row>
    <row r="6" spans="5:19" x14ac:dyDescent="0.25">
      <c r="E6"/>
      <c r="L6"/>
      <c r="N6"/>
    </row>
    <row r="7" spans="5:19" x14ac:dyDescent="0.25">
      <c r="E7"/>
      <c r="L7"/>
      <c r="N7"/>
    </row>
    <row r="8" spans="5:19" x14ac:dyDescent="0.25">
      <c r="E8"/>
      <c r="L8"/>
      <c r="N8"/>
    </row>
    <row r="9" spans="5:19" x14ac:dyDescent="0.25">
      <c r="E9"/>
      <c r="L9"/>
      <c r="N9"/>
      <c r="S9" s="263"/>
    </row>
    <row r="10" spans="5:19" x14ac:dyDescent="0.25">
      <c r="E10"/>
      <c r="L10"/>
      <c r="N10"/>
      <c r="S10" s="261"/>
    </row>
    <row r="11" spans="5:19" x14ac:dyDescent="0.25">
      <c r="E11"/>
      <c r="L11"/>
      <c r="N11"/>
      <c r="S11" s="261"/>
    </row>
    <row r="12" spans="5:19" x14ac:dyDescent="0.25">
      <c r="E12"/>
      <c r="L12"/>
      <c r="N12"/>
      <c r="S12" s="261"/>
    </row>
    <row r="13" spans="5:19" x14ac:dyDescent="0.25">
      <c r="E13"/>
      <c r="L13"/>
      <c r="N13"/>
      <c r="S13" s="261"/>
    </row>
    <row r="14" spans="5:19" x14ac:dyDescent="0.25">
      <c r="E14"/>
      <c r="L14"/>
      <c r="N14"/>
      <c r="S14" s="261"/>
    </row>
    <row r="15" spans="5:19" x14ac:dyDescent="0.25">
      <c r="E15"/>
      <c r="L15"/>
      <c r="N15"/>
      <c r="S15" s="261"/>
    </row>
    <row r="16" spans="5:19" x14ac:dyDescent="0.25">
      <c r="E16"/>
      <c r="L16"/>
      <c r="N16"/>
      <c r="S16" s="261"/>
    </row>
    <row r="17" spans="5:19" x14ac:dyDescent="0.25">
      <c r="E17"/>
      <c r="L17"/>
      <c r="N17"/>
      <c r="S17" s="261"/>
    </row>
    <row r="18" spans="5:19" x14ac:dyDescent="0.25">
      <c r="E18"/>
      <c r="L18"/>
      <c r="N18"/>
      <c r="S18" s="262"/>
    </row>
    <row r="19" spans="5:19" x14ac:dyDescent="0.25">
      <c r="E19"/>
      <c r="L19"/>
      <c r="N19"/>
      <c r="S19" s="260"/>
    </row>
    <row r="20" spans="5:19" x14ac:dyDescent="0.25">
      <c r="E20"/>
      <c r="L20"/>
      <c r="N20"/>
      <c r="S20" s="260"/>
    </row>
    <row r="21" spans="5:19" x14ac:dyDescent="0.25">
      <c r="E21"/>
      <c r="L21"/>
      <c r="N21"/>
      <c r="S21" s="260"/>
    </row>
    <row r="22" spans="5:19" x14ac:dyDescent="0.25">
      <c r="E22"/>
      <c r="L22"/>
      <c r="N22"/>
      <c r="S22" s="260"/>
    </row>
    <row r="23" spans="5:19" x14ac:dyDescent="0.25">
      <c r="E23"/>
      <c r="L23"/>
      <c r="N23"/>
    </row>
    <row r="24" spans="5:19" x14ac:dyDescent="0.25">
      <c r="E24"/>
      <c r="L24"/>
      <c r="N24"/>
    </row>
    <row r="25" spans="5:19" x14ac:dyDescent="0.25">
      <c r="E25"/>
      <c r="L25"/>
      <c r="N25"/>
    </row>
    <row r="26" spans="5:19" x14ac:dyDescent="0.25">
      <c r="E26"/>
      <c r="L26"/>
      <c r="N26"/>
    </row>
    <row r="27" spans="5:19" x14ac:dyDescent="0.25">
      <c r="E27"/>
      <c r="L27"/>
      <c r="N27"/>
    </row>
    <row r="28" spans="5:19" x14ac:dyDescent="0.25">
      <c r="E28"/>
      <c r="L28"/>
      <c r="N28"/>
    </row>
    <row r="29" spans="5:19" x14ac:dyDescent="0.25">
      <c r="E29"/>
      <c r="L29"/>
      <c r="N29"/>
    </row>
    <row r="30" spans="5:19" x14ac:dyDescent="0.25">
      <c r="E30"/>
      <c r="L30"/>
      <c r="N30"/>
    </row>
    <row r="31" spans="5:19" x14ac:dyDescent="0.25">
      <c r="E31"/>
      <c r="L31"/>
      <c r="N31"/>
    </row>
    <row r="32" spans="5:19" x14ac:dyDescent="0.25">
      <c r="E32"/>
      <c r="L32"/>
      <c r="N32"/>
    </row>
    <row r="33" spans="5:14" x14ac:dyDescent="0.25">
      <c r="E33"/>
      <c r="L33"/>
      <c r="N33"/>
    </row>
    <row r="34" spans="5:14" x14ac:dyDescent="0.25">
      <c r="E34"/>
      <c r="L34"/>
      <c r="N34"/>
    </row>
    <row r="35" spans="5:14" x14ac:dyDescent="0.25">
      <c r="E35"/>
      <c r="L35"/>
      <c r="N35"/>
    </row>
    <row r="36" spans="5:14" x14ac:dyDescent="0.25">
      <c r="E36"/>
      <c r="L36"/>
      <c r="N36"/>
    </row>
    <row r="37" spans="5:14" x14ac:dyDescent="0.25">
      <c r="E37"/>
      <c r="L37"/>
      <c r="N37"/>
    </row>
    <row r="38" spans="5:14" x14ac:dyDescent="0.25">
      <c r="E38"/>
      <c r="L38"/>
      <c r="N38"/>
    </row>
    <row r="39" spans="5:14" x14ac:dyDescent="0.25">
      <c r="E39"/>
      <c r="L39"/>
      <c r="N39"/>
    </row>
    <row r="40" spans="5:14" x14ac:dyDescent="0.25">
      <c r="E40"/>
      <c r="L40"/>
      <c r="N40"/>
    </row>
    <row r="41" spans="5:14" x14ac:dyDescent="0.25">
      <c r="E41"/>
      <c r="L41"/>
      <c r="N41"/>
    </row>
    <row r="42" spans="5:14" x14ac:dyDescent="0.25">
      <c r="E42"/>
      <c r="L42"/>
      <c r="N42"/>
    </row>
    <row r="43" spans="5:14" x14ac:dyDescent="0.25">
      <c r="E43"/>
      <c r="L43"/>
      <c r="N43"/>
    </row>
    <row r="44" spans="5:14" x14ac:dyDescent="0.25">
      <c r="E44"/>
      <c r="L44"/>
      <c r="N44"/>
    </row>
    <row r="45" spans="5:14" x14ac:dyDescent="0.25">
      <c r="E45"/>
      <c r="L45"/>
      <c r="N45"/>
    </row>
    <row r="46" spans="5:14" x14ac:dyDescent="0.25">
      <c r="E46"/>
      <c r="L46"/>
      <c r="N46"/>
    </row>
    <row r="47" spans="5:14" x14ac:dyDescent="0.25">
      <c r="E47"/>
      <c r="L47"/>
      <c r="N47"/>
    </row>
    <row r="48" spans="5:14" x14ac:dyDescent="0.25">
      <c r="E48"/>
      <c r="L48"/>
      <c r="N48"/>
    </row>
    <row r="49" spans="5:15" x14ac:dyDescent="0.25">
      <c r="E49"/>
      <c r="L49"/>
      <c r="N49"/>
    </row>
    <row r="50" spans="5:15" x14ac:dyDescent="0.25">
      <c r="E50"/>
      <c r="L50"/>
      <c r="N50"/>
    </row>
    <row r="51" spans="5:15" x14ac:dyDescent="0.25">
      <c r="E51"/>
      <c r="L51"/>
      <c r="N51"/>
    </row>
    <row r="52" spans="5:15" x14ac:dyDescent="0.25">
      <c r="E52"/>
      <c r="L52"/>
      <c r="N52"/>
    </row>
    <row r="53" spans="5:15" x14ac:dyDescent="0.25">
      <c r="E53"/>
      <c r="L53"/>
      <c r="N53"/>
    </row>
    <row r="54" spans="5:15" x14ac:dyDescent="0.25">
      <c r="M54" s="248"/>
      <c r="N54" s="253"/>
      <c r="O54" s="249"/>
    </row>
    <row r="55" spans="5:15" x14ac:dyDescent="0.25">
      <c r="M55" s="248"/>
      <c r="N55" s="253"/>
      <c r="O55" s="249"/>
    </row>
    <row r="56" spans="5:15" x14ac:dyDescent="0.25">
      <c r="M56" s="248"/>
      <c r="N56" s="253"/>
      <c r="O56" s="249"/>
    </row>
    <row r="57" spans="5:15" x14ac:dyDescent="0.25">
      <c r="M57" s="248"/>
      <c r="N57" s="253"/>
      <c r="O57" s="249"/>
    </row>
    <row r="58" spans="5:15" x14ac:dyDescent="0.25">
      <c r="M58" s="248"/>
      <c r="N58" s="253"/>
      <c r="O58" s="249"/>
    </row>
    <row r="59" spans="5:15" x14ac:dyDescent="0.25">
      <c r="M59" s="248"/>
      <c r="N59" s="253"/>
      <c r="O59" s="249"/>
    </row>
    <row r="60" spans="5:15" x14ac:dyDescent="0.25">
      <c r="M60" s="248"/>
      <c r="N60" s="253"/>
      <c r="O60" s="249"/>
    </row>
    <row r="61" spans="5:15" x14ac:dyDescent="0.25">
      <c r="M61" s="248"/>
      <c r="N61" s="253"/>
      <c r="O61" s="249"/>
    </row>
  </sheetData>
  <pageMargins left="0.70866141732283472" right="0.70866141732283472" top="0.78740157480314965" bottom="0.78740157480314965" header="0.31496062992125984" footer="0.31496062992125984"/>
  <pageSetup paperSize="8"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85"/>
  <sheetViews>
    <sheetView workbookViewId="0"/>
  </sheetViews>
  <sheetFormatPr baseColWidth="10" defaultColWidth="11.44140625" defaultRowHeight="13.2" x14ac:dyDescent="0.25"/>
  <cols>
    <col min="1" max="1" width="11.44140625" style="270"/>
    <col min="2" max="2" width="38.88671875" customWidth="1"/>
    <col min="3" max="3" width="2.33203125" customWidth="1"/>
    <col min="4" max="17" width="0" hidden="1" customWidth="1"/>
    <col min="18" max="18" width="19.33203125" customWidth="1"/>
    <col min="19" max="19" width="0" hidden="1" customWidth="1"/>
    <col min="20" max="20" width="18.88671875" customWidth="1"/>
    <col min="21" max="21" width="19.6640625" customWidth="1"/>
  </cols>
  <sheetData>
    <row r="1" spans="1:22" x14ac:dyDescent="0.25">
      <c r="A1" s="16"/>
      <c r="B1" s="16"/>
      <c r="C1" s="16"/>
      <c r="D1" s="16"/>
      <c r="E1" s="16"/>
      <c r="F1" s="16"/>
      <c r="G1" s="16"/>
      <c r="H1" s="16"/>
      <c r="I1" s="16"/>
      <c r="J1" s="16"/>
      <c r="K1" s="16"/>
      <c r="L1" s="16"/>
      <c r="M1" s="16"/>
      <c r="N1" s="16"/>
      <c r="O1" s="16"/>
      <c r="P1" s="16"/>
      <c r="Q1" s="16"/>
      <c r="R1" s="16"/>
      <c r="S1" s="16"/>
      <c r="T1" s="16"/>
      <c r="U1" s="16"/>
      <c r="V1" s="16"/>
    </row>
    <row r="2" spans="1:22" x14ac:dyDescent="0.25">
      <c r="A2" s="16"/>
      <c r="B2" s="16"/>
      <c r="C2" s="16"/>
      <c r="D2" s="16"/>
      <c r="E2" s="16"/>
      <c r="F2" s="16"/>
      <c r="G2" s="16"/>
      <c r="H2" s="16"/>
      <c r="I2" s="16"/>
      <c r="J2" s="16"/>
      <c r="K2" s="16"/>
      <c r="L2" s="16"/>
      <c r="M2" s="16"/>
      <c r="N2" s="16"/>
      <c r="O2" s="16"/>
      <c r="P2" s="16"/>
      <c r="Q2" s="16"/>
      <c r="R2" s="16"/>
      <c r="S2" s="16"/>
      <c r="T2" s="16"/>
      <c r="U2" s="16"/>
      <c r="V2" s="16"/>
    </row>
    <row r="3" spans="1:22" x14ac:dyDescent="0.25">
      <c r="A3" s="16"/>
      <c r="B3" s="16"/>
      <c r="C3" s="16"/>
      <c r="D3" s="16"/>
      <c r="E3" s="16"/>
      <c r="F3" s="16"/>
      <c r="G3" s="16"/>
      <c r="H3" s="16"/>
      <c r="I3" s="16"/>
      <c r="J3" s="16"/>
      <c r="K3" s="16"/>
      <c r="L3" s="16"/>
      <c r="M3" s="16"/>
      <c r="N3" s="16"/>
      <c r="O3" s="16"/>
      <c r="P3" s="16"/>
      <c r="Q3" s="16"/>
      <c r="R3" s="16"/>
      <c r="S3" s="16"/>
      <c r="T3" s="16"/>
      <c r="U3" s="16"/>
      <c r="V3" s="16"/>
    </row>
    <row r="4" spans="1:22" x14ac:dyDescent="0.25">
      <c r="A4" s="16"/>
      <c r="B4" s="16"/>
      <c r="C4" s="16"/>
      <c r="D4" s="16"/>
      <c r="E4" s="16"/>
      <c r="F4" s="16"/>
      <c r="G4" s="16"/>
      <c r="H4" s="16"/>
      <c r="I4" s="16"/>
      <c r="J4" s="16"/>
      <c r="K4" s="16"/>
      <c r="L4" s="16"/>
      <c r="M4" s="16"/>
      <c r="N4" s="16"/>
      <c r="O4" s="16"/>
      <c r="P4" s="16"/>
      <c r="Q4" s="16"/>
      <c r="R4" s="16"/>
      <c r="S4" s="16"/>
      <c r="T4" s="16"/>
      <c r="U4" s="16"/>
      <c r="V4" s="16"/>
    </row>
    <row r="5" spans="1:22" x14ac:dyDescent="0.25">
      <c r="A5" s="16"/>
      <c r="B5" s="16"/>
      <c r="C5" s="16"/>
      <c r="D5" s="16"/>
      <c r="E5" s="16"/>
      <c r="F5" s="16"/>
      <c r="G5" s="16"/>
      <c r="H5" s="16"/>
      <c r="I5" s="16"/>
      <c r="J5" s="16"/>
      <c r="K5" s="16"/>
      <c r="L5" s="16"/>
      <c r="M5" s="16"/>
      <c r="N5" s="16"/>
      <c r="O5" s="16"/>
      <c r="P5" s="16"/>
      <c r="Q5" s="16"/>
      <c r="R5" s="16"/>
      <c r="S5" s="16"/>
      <c r="T5" s="16"/>
      <c r="U5" s="16"/>
      <c r="V5" s="16"/>
    </row>
    <row r="6" spans="1:22" x14ac:dyDescent="0.25">
      <c r="A6" s="16"/>
      <c r="B6" s="16"/>
      <c r="C6" s="16"/>
      <c r="D6" s="16"/>
      <c r="E6" s="16"/>
      <c r="F6" s="16"/>
      <c r="G6" s="16"/>
      <c r="H6" s="16"/>
      <c r="I6" s="16"/>
      <c r="J6" s="16"/>
      <c r="K6" s="16"/>
      <c r="L6" s="16"/>
      <c r="M6" s="16"/>
      <c r="N6" s="16"/>
      <c r="O6" s="16"/>
      <c r="P6" s="16"/>
      <c r="Q6" s="16"/>
      <c r="R6" s="16"/>
      <c r="S6" s="16"/>
      <c r="T6" s="16"/>
      <c r="U6" s="16"/>
      <c r="V6" s="16"/>
    </row>
    <row r="7" spans="1:22" x14ac:dyDescent="0.25">
      <c r="A7" s="16"/>
      <c r="B7" s="16"/>
      <c r="C7" s="16"/>
      <c r="D7" s="16"/>
      <c r="E7" s="16"/>
      <c r="F7" s="16"/>
      <c r="G7" s="16"/>
      <c r="H7" s="16"/>
      <c r="I7" s="16"/>
      <c r="J7" s="16"/>
      <c r="K7" s="16"/>
      <c r="L7" s="16"/>
      <c r="M7" s="16"/>
      <c r="N7" s="16"/>
      <c r="O7" s="16"/>
      <c r="P7" s="16"/>
      <c r="Q7" s="16"/>
      <c r="R7" s="16"/>
      <c r="S7" s="16"/>
      <c r="T7" s="16"/>
      <c r="U7" s="16"/>
      <c r="V7" s="16"/>
    </row>
    <row r="8" spans="1:22" hidden="1" x14ac:dyDescent="0.25">
      <c r="A8" s="16"/>
      <c r="B8" s="16"/>
      <c r="C8" s="16"/>
      <c r="D8" s="16"/>
      <c r="E8" s="16"/>
      <c r="F8" s="16"/>
      <c r="G8" s="16"/>
      <c r="H8" s="16"/>
      <c r="I8" s="16"/>
      <c r="J8" s="16"/>
      <c r="K8" s="16"/>
      <c r="L8" s="16"/>
      <c r="M8" s="16"/>
      <c r="N8" s="16"/>
      <c r="O8" s="16"/>
      <c r="P8" s="16"/>
      <c r="Q8" s="16"/>
      <c r="R8" s="16"/>
      <c r="S8" s="16"/>
      <c r="T8" s="16"/>
      <c r="U8" s="16"/>
      <c r="V8" s="16"/>
    </row>
    <row r="9" spans="1:22" hidden="1" x14ac:dyDescent="0.25">
      <c r="A9" s="16"/>
      <c r="B9" s="16"/>
      <c r="C9" s="16"/>
      <c r="D9" s="16"/>
      <c r="E9" s="16"/>
      <c r="F9" s="16"/>
      <c r="G9" s="16"/>
      <c r="H9" s="16"/>
      <c r="I9" s="16"/>
      <c r="J9" s="16"/>
      <c r="K9" s="16"/>
      <c r="L9" s="16"/>
      <c r="M9" s="16"/>
      <c r="N9" s="16"/>
      <c r="O9" s="16"/>
      <c r="P9" s="16"/>
      <c r="Q9" s="16"/>
      <c r="R9" s="16"/>
      <c r="S9" s="16"/>
      <c r="T9" s="16"/>
      <c r="U9" s="16"/>
      <c r="V9" s="16"/>
    </row>
    <row r="10" spans="1:22" hidden="1" x14ac:dyDescent="0.25">
      <c r="A10" s="16"/>
      <c r="B10" s="16"/>
      <c r="C10" s="16"/>
      <c r="D10" s="16"/>
      <c r="E10" s="16"/>
      <c r="F10" s="16"/>
      <c r="G10" s="16"/>
      <c r="H10" s="16"/>
      <c r="I10" s="16"/>
      <c r="J10" s="16"/>
      <c r="K10" s="16"/>
      <c r="L10" s="16"/>
      <c r="M10" s="16"/>
      <c r="N10" s="16"/>
      <c r="O10" s="16"/>
      <c r="P10" s="16"/>
      <c r="Q10" s="16"/>
      <c r="R10" s="16"/>
      <c r="S10" s="16"/>
      <c r="T10" s="16"/>
      <c r="U10" s="16"/>
      <c r="V10" s="16"/>
    </row>
    <row r="11" spans="1:22" hidden="1" x14ac:dyDescent="0.25">
      <c r="A11" s="16"/>
      <c r="B11" s="16"/>
      <c r="C11" s="16"/>
      <c r="D11" s="16"/>
      <c r="E11" s="16"/>
      <c r="F11" s="16"/>
      <c r="G11" s="16"/>
      <c r="H11" s="16"/>
      <c r="I11" s="16"/>
      <c r="J11" s="16"/>
      <c r="K11" s="16"/>
      <c r="L11" s="16"/>
      <c r="M11" s="16"/>
      <c r="N11" s="16"/>
      <c r="O11" s="16"/>
      <c r="P11" s="16"/>
      <c r="Q11" s="16"/>
      <c r="R11" s="16"/>
      <c r="S11" s="16"/>
      <c r="T11" s="16"/>
      <c r="U11" s="16"/>
      <c r="V11" s="16"/>
    </row>
    <row r="12" spans="1:22" hidden="1" x14ac:dyDescent="0.25">
      <c r="A12" s="16"/>
      <c r="B12" s="16"/>
      <c r="C12" s="16"/>
      <c r="D12" s="16"/>
      <c r="E12" s="16"/>
      <c r="F12" s="16"/>
      <c r="G12" s="16"/>
      <c r="H12" s="16"/>
      <c r="I12" s="16"/>
      <c r="J12" s="16"/>
      <c r="K12" s="16"/>
      <c r="L12" s="16"/>
      <c r="M12" s="16"/>
      <c r="N12" s="16"/>
      <c r="O12" s="16"/>
      <c r="P12" s="16"/>
      <c r="Q12" s="16"/>
      <c r="R12" s="16"/>
      <c r="S12" s="16"/>
      <c r="T12" s="16"/>
      <c r="U12" s="16"/>
      <c r="V12" s="16"/>
    </row>
    <row r="13" spans="1:22" hidden="1" x14ac:dyDescent="0.25">
      <c r="A13" s="16"/>
      <c r="B13" s="16"/>
      <c r="C13" s="16"/>
      <c r="D13" s="16"/>
      <c r="E13" s="16"/>
      <c r="F13" s="16"/>
      <c r="G13" s="16"/>
      <c r="H13" s="16"/>
      <c r="I13" s="16"/>
      <c r="J13" s="16"/>
      <c r="K13" s="16"/>
      <c r="L13" s="16"/>
      <c r="M13" s="16"/>
      <c r="N13" s="16"/>
      <c r="O13" s="16"/>
      <c r="P13" s="16"/>
      <c r="Q13" s="16"/>
      <c r="R13" s="16"/>
      <c r="S13" s="16"/>
      <c r="T13" s="16"/>
      <c r="U13" s="16"/>
      <c r="V13" s="16"/>
    </row>
    <row r="14" spans="1:22" hidden="1" x14ac:dyDescent="0.25">
      <c r="A14" s="16"/>
      <c r="B14" s="16"/>
      <c r="C14" s="16"/>
      <c r="D14" s="16"/>
      <c r="E14" s="16"/>
      <c r="F14" s="16"/>
      <c r="G14" s="16"/>
      <c r="H14" s="16"/>
      <c r="I14" s="16"/>
      <c r="J14" s="16"/>
      <c r="K14" s="16"/>
      <c r="L14" s="16"/>
      <c r="M14" s="16"/>
      <c r="N14" s="16"/>
      <c r="O14" s="16"/>
      <c r="P14" s="16"/>
      <c r="Q14" s="16"/>
      <c r="R14" s="16"/>
      <c r="S14" s="16"/>
      <c r="T14" s="16"/>
      <c r="U14" s="16"/>
      <c r="V14" s="16"/>
    </row>
    <row r="15" spans="1:22" hidden="1" x14ac:dyDescent="0.25">
      <c r="A15" s="16"/>
      <c r="B15" s="16"/>
      <c r="C15" s="16"/>
      <c r="D15" s="16"/>
      <c r="E15" s="16"/>
      <c r="F15" s="16"/>
      <c r="G15" s="16"/>
      <c r="H15" s="16"/>
      <c r="I15" s="16"/>
      <c r="J15" s="16"/>
      <c r="K15" s="16"/>
      <c r="L15" s="16"/>
      <c r="M15" s="16"/>
      <c r="N15" s="16"/>
      <c r="O15" s="16"/>
      <c r="P15" s="16"/>
      <c r="Q15" s="16"/>
      <c r="R15" s="16"/>
      <c r="S15" s="16"/>
      <c r="T15" s="16"/>
      <c r="U15" s="16"/>
      <c r="V15" s="16"/>
    </row>
    <row r="16" spans="1:22" hidden="1" x14ac:dyDescent="0.25">
      <c r="A16" s="16"/>
      <c r="B16" s="16"/>
      <c r="C16" s="16"/>
      <c r="D16" s="16"/>
      <c r="E16" s="16"/>
      <c r="F16" s="16"/>
      <c r="G16" s="16"/>
      <c r="H16" s="16"/>
      <c r="I16" s="16"/>
      <c r="J16" s="16"/>
      <c r="K16" s="16"/>
      <c r="L16" s="16"/>
      <c r="M16" s="16"/>
      <c r="N16" s="16"/>
      <c r="O16" s="16"/>
      <c r="P16" s="16"/>
      <c r="Q16" s="16"/>
      <c r="R16" s="16"/>
      <c r="S16" s="16"/>
      <c r="T16" s="16"/>
      <c r="U16" s="16"/>
      <c r="V16" s="16"/>
    </row>
    <row r="17" spans="1:22" hidden="1" x14ac:dyDescent="0.25">
      <c r="A17" s="16"/>
      <c r="B17" s="16"/>
      <c r="C17" s="16"/>
      <c r="D17" s="16"/>
      <c r="E17" s="16"/>
      <c r="F17" s="16"/>
      <c r="G17" s="16"/>
      <c r="H17" s="16"/>
      <c r="I17" s="16"/>
      <c r="J17" s="16"/>
      <c r="K17" s="16"/>
      <c r="L17" s="16"/>
      <c r="M17" s="16"/>
      <c r="N17" s="16"/>
      <c r="O17" s="16"/>
      <c r="P17" s="16"/>
      <c r="Q17" s="16"/>
      <c r="R17" s="16"/>
      <c r="S17" s="16"/>
      <c r="T17" s="16"/>
      <c r="U17" s="16"/>
      <c r="V17" s="16"/>
    </row>
    <row r="18" spans="1:22" hidden="1" x14ac:dyDescent="0.25">
      <c r="A18" s="16"/>
      <c r="B18" s="16"/>
      <c r="C18" s="16"/>
      <c r="D18" s="16"/>
      <c r="E18" s="16"/>
      <c r="F18" s="16"/>
      <c r="G18" s="16"/>
      <c r="H18" s="16"/>
      <c r="I18" s="16"/>
      <c r="J18" s="16"/>
      <c r="K18" s="16"/>
      <c r="L18" s="16"/>
      <c r="M18" s="16"/>
      <c r="N18" s="16"/>
      <c r="O18" s="16"/>
      <c r="P18" s="16"/>
      <c r="Q18" s="16"/>
      <c r="R18" s="16"/>
      <c r="S18" s="16"/>
      <c r="T18" s="16"/>
      <c r="U18" s="16"/>
      <c r="V18" s="16"/>
    </row>
    <row r="19" spans="1:22" hidden="1" x14ac:dyDescent="0.25">
      <c r="A19" s="16"/>
      <c r="B19" s="16"/>
      <c r="C19" s="16"/>
      <c r="D19" s="16"/>
      <c r="E19" s="16"/>
      <c r="F19" s="16"/>
      <c r="G19" s="16"/>
      <c r="H19" s="16"/>
      <c r="I19" s="16"/>
      <c r="J19" s="16"/>
      <c r="K19" s="16"/>
      <c r="L19" s="16"/>
      <c r="M19" s="16"/>
      <c r="N19" s="16"/>
      <c r="O19" s="16"/>
      <c r="P19" s="16"/>
      <c r="Q19" s="16"/>
      <c r="R19" s="16"/>
      <c r="S19" s="16"/>
      <c r="T19" s="16"/>
      <c r="U19" s="16"/>
      <c r="V19" s="16"/>
    </row>
    <row r="20" spans="1:22" hidden="1" x14ac:dyDescent="0.25">
      <c r="A20" s="16"/>
      <c r="B20" s="16"/>
      <c r="C20" s="16"/>
      <c r="D20" s="16"/>
      <c r="E20" s="16"/>
      <c r="F20" s="16"/>
      <c r="G20" s="16"/>
      <c r="H20" s="16"/>
      <c r="I20" s="16"/>
      <c r="J20" s="16"/>
      <c r="K20" s="16"/>
      <c r="L20" s="16"/>
      <c r="M20" s="16"/>
      <c r="N20" s="16"/>
      <c r="O20" s="16"/>
      <c r="P20" s="16"/>
      <c r="Q20" s="16"/>
      <c r="R20" s="16"/>
      <c r="S20" s="16"/>
      <c r="T20" s="16"/>
      <c r="U20" s="16"/>
      <c r="V20" s="16"/>
    </row>
    <row r="21" spans="1:22" hidden="1" x14ac:dyDescent="0.25">
      <c r="A21" s="16"/>
      <c r="B21" s="16"/>
      <c r="C21" s="16"/>
      <c r="D21" s="16"/>
      <c r="E21" s="16"/>
      <c r="F21" s="16"/>
      <c r="G21" s="16"/>
      <c r="H21" s="16"/>
      <c r="I21" s="16"/>
      <c r="J21" s="16"/>
      <c r="K21" s="16"/>
      <c r="L21" s="16"/>
      <c r="M21" s="16"/>
      <c r="N21" s="16"/>
      <c r="O21" s="16"/>
      <c r="P21" s="16"/>
      <c r="Q21" s="16"/>
      <c r="R21" s="16"/>
      <c r="S21" s="16"/>
      <c r="T21" s="16"/>
      <c r="U21" s="16"/>
      <c r="V21" s="16"/>
    </row>
    <row r="22" spans="1:22" hidden="1" x14ac:dyDescent="0.25">
      <c r="A22" s="16"/>
      <c r="B22" s="16"/>
      <c r="C22" s="16"/>
      <c r="D22" s="16"/>
      <c r="E22" s="16"/>
      <c r="F22" s="16"/>
      <c r="G22" s="16"/>
      <c r="H22" s="16"/>
      <c r="I22" s="16"/>
      <c r="J22" s="16"/>
      <c r="K22" s="16"/>
      <c r="L22" s="16"/>
      <c r="M22" s="16"/>
      <c r="N22" s="16"/>
      <c r="O22" s="16"/>
      <c r="P22" s="16"/>
      <c r="Q22" s="16"/>
      <c r="R22" s="16"/>
      <c r="S22" s="16"/>
      <c r="T22" s="16"/>
      <c r="U22" s="16"/>
      <c r="V22" s="16"/>
    </row>
    <row r="23" spans="1:22" hidden="1" x14ac:dyDescent="0.25">
      <c r="A23" s="16"/>
      <c r="B23" s="16"/>
      <c r="C23" s="16"/>
      <c r="D23" s="16"/>
      <c r="E23" s="16"/>
      <c r="F23" s="16"/>
      <c r="G23" s="16"/>
      <c r="H23" s="16"/>
      <c r="I23" s="16"/>
      <c r="J23" s="16"/>
      <c r="K23" s="16"/>
      <c r="L23" s="16"/>
      <c r="M23" s="16"/>
      <c r="N23" s="16"/>
      <c r="O23" s="16"/>
      <c r="P23" s="16"/>
      <c r="Q23" s="16"/>
      <c r="R23" s="16"/>
      <c r="S23" s="16"/>
      <c r="T23" s="16"/>
      <c r="U23" s="16"/>
      <c r="V23" s="16"/>
    </row>
    <row r="24" spans="1:22" x14ac:dyDescent="0.25">
      <c r="A24" s="16"/>
      <c r="B24" s="16"/>
      <c r="C24" s="16"/>
      <c r="D24" s="16"/>
      <c r="E24" s="16"/>
      <c r="F24" s="16"/>
      <c r="G24" s="16"/>
      <c r="H24" s="16"/>
      <c r="I24" s="16"/>
      <c r="J24" s="16"/>
      <c r="K24" s="16"/>
      <c r="L24" s="16"/>
      <c r="M24" s="16"/>
      <c r="N24" s="16"/>
      <c r="O24" s="16"/>
      <c r="P24" s="16"/>
      <c r="Q24" s="16"/>
      <c r="R24" s="16"/>
      <c r="S24" s="16"/>
      <c r="T24" s="16"/>
      <c r="U24" s="16"/>
      <c r="V24" s="16"/>
    </row>
    <row r="25" spans="1:22" x14ac:dyDescent="0.25">
      <c r="A25" s="16"/>
      <c r="B25" s="16"/>
      <c r="C25" s="16"/>
      <c r="D25" s="16"/>
      <c r="E25" s="16"/>
      <c r="F25" s="16"/>
      <c r="G25" s="16"/>
      <c r="H25" s="16"/>
      <c r="I25" s="16"/>
      <c r="J25" s="16"/>
      <c r="K25" s="16"/>
      <c r="L25" s="16"/>
      <c r="M25" s="16"/>
      <c r="N25" s="16"/>
      <c r="O25" s="16"/>
      <c r="P25" s="16"/>
      <c r="Q25" s="16"/>
      <c r="R25" s="16"/>
      <c r="S25" s="16"/>
      <c r="T25" s="16"/>
      <c r="U25" s="16"/>
      <c r="V25" s="16"/>
    </row>
    <row r="26" spans="1:22" hidden="1" x14ac:dyDescent="0.25">
      <c r="A26" s="16"/>
      <c r="B26" s="16"/>
      <c r="C26" s="16"/>
      <c r="D26" s="16"/>
      <c r="E26" s="16"/>
      <c r="F26" s="16"/>
      <c r="G26" s="16"/>
      <c r="H26" s="16"/>
      <c r="I26" s="16"/>
      <c r="J26" s="16"/>
      <c r="K26" s="16"/>
      <c r="L26" s="16"/>
      <c r="M26" s="16"/>
      <c r="N26" s="16"/>
      <c r="O26" s="16"/>
      <c r="P26" s="16"/>
      <c r="Q26" s="16"/>
      <c r="R26" s="16"/>
      <c r="S26" s="16"/>
      <c r="T26" s="16"/>
      <c r="U26" s="16"/>
      <c r="V26" s="16"/>
    </row>
    <row r="27" spans="1:22" hidden="1" x14ac:dyDescent="0.25">
      <c r="A27" s="16"/>
      <c r="B27" s="16"/>
      <c r="C27" s="16"/>
      <c r="D27" s="16"/>
      <c r="E27" s="16"/>
      <c r="F27" s="16"/>
      <c r="G27" s="16"/>
      <c r="H27" s="16"/>
      <c r="I27" s="16"/>
      <c r="J27" s="16"/>
      <c r="K27" s="16"/>
      <c r="L27" s="16"/>
      <c r="M27" s="16"/>
      <c r="N27" s="16"/>
      <c r="O27" s="16"/>
      <c r="P27" s="16"/>
      <c r="Q27" s="16"/>
      <c r="R27" s="16"/>
      <c r="S27" s="16"/>
      <c r="T27" s="16"/>
      <c r="U27" s="16"/>
      <c r="V27" s="16"/>
    </row>
    <row r="28" spans="1:22" hidden="1" x14ac:dyDescent="0.25">
      <c r="A28" s="16"/>
      <c r="B28" s="16"/>
      <c r="C28" s="16"/>
      <c r="D28" s="16"/>
      <c r="E28" s="16"/>
      <c r="F28" s="16"/>
      <c r="G28" s="16"/>
      <c r="H28" s="16"/>
      <c r="I28" s="16"/>
      <c r="J28" s="16"/>
      <c r="K28" s="16"/>
      <c r="L28" s="16"/>
      <c r="M28" s="16"/>
      <c r="N28" s="16"/>
      <c r="O28" s="16"/>
      <c r="P28" s="16"/>
      <c r="Q28" s="16"/>
      <c r="R28" s="16"/>
      <c r="S28" s="16"/>
      <c r="T28" s="16"/>
      <c r="U28" s="16"/>
      <c r="V28" s="16"/>
    </row>
    <row r="29" spans="1:22" hidden="1" x14ac:dyDescent="0.25">
      <c r="A29" s="16"/>
      <c r="B29" s="16"/>
      <c r="C29" s="16"/>
      <c r="D29" s="16"/>
      <c r="E29" s="16"/>
      <c r="F29" s="16"/>
      <c r="G29" s="16"/>
      <c r="H29" s="16"/>
      <c r="I29" s="16"/>
      <c r="J29" s="16"/>
      <c r="K29" s="16"/>
      <c r="L29" s="16"/>
      <c r="M29" s="16"/>
      <c r="N29" s="16"/>
      <c r="O29" s="16"/>
      <c r="P29" s="16"/>
      <c r="Q29" s="16"/>
      <c r="R29" s="16"/>
      <c r="S29" s="16"/>
      <c r="T29" s="16"/>
      <c r="U29" s="16"/>
      <c r="V29" s="16"/>
    </row>
    <row r="30" spans="1:22" hidden="1" x14ac:dyDescent="0.25">
      <c r="A30" s="16"/>
      <c r="B30" s="16"/>
      <c r="C30" s="16"/>
      <c r="D30" s="16"/>
      <c r="E30" s="16"/>
      <c r="F30" s="16"/>
      <c r="G30" s="16"/>
      <c r="H30" s="16"/>
      <c r="I30" s="16"/>
      <c r="J30" s="16"/>
      <c r="K30" s="16"/>
      <c r="L30" s="16"/>
      <c r="M30" s="16"/>
      <c r="N30" s="16"/>
      <c r="O30" s="16"/>
      <c r="P30" s="16"/>
      <c r="Q30" s="16"/>
      <c r="R30" s="16"/>
      <c r="S30" s="16"/>
      <c r="T30" s="16"/>
      <c r="U30" s="16"/>
      <c r="V30" s="16"/>
    </row>
    <row r="31" spans="1:22" hidden="1" x14ac:dyDescent="0.25">
      <c r="A31" s="16"/>
      <c r="B31" s="16"/>
      <c r="C31" s="16"/>
      <c r="D31" s="16"/>
      <c r="E31" s="16"/>
      <c r="F31" s="16"/>
      <c r="G31" s="16"/>
      <c r="H31" s="16"/>
      <c r="I31" s="16"/>
      <c r="J31" s="16"/>
      <c r="K31" s="16"/>
      <c r="L31" s="16"/>
      <c r="M31" s="16"/>
      <c r="N31" s="16"/>
      <c r="O31" s="16"/>
      <c r="P31" s="16"/>
      <c r="Q31" s="16"/>
      <c r="R31" s="16"/>
      <c r="S31" s="16"/>
      <c r="T31" s="16"/>
      <c r="U31" s="16"/>
      <c r="V31" s="16"/>
    </row>
    <row r="32" spans="1:22" hidden="1" x14ac:dyDescent="0.25">
      <c r="A32" s="16"/>
      <c r="B32" s="16"/>
      <c r="C32" s="16"/>
      <c r="D32" s="16"/>
      <c r="E32" s="16"/>
      <c r="F32" s="16"/>
      <c r="G32" s="16"/>
      <c r="H32" s="16"/>
      <c r="I32" s="16"/>
      <c r="J32" s="16"/>
      <c r="K32" s="16"/>
      <c r="L32" s="16"/>
      <c r="M32" s="16"/>
      <c r="N32" s="16"/>
      <c r="O32" s="16"/>
      <c r="P32" s="16"/>
      <c r="Q32" s="16"/>
      <c r="R32" s="16"/>
      <c r="S32" s="16"/>
      <c r="T32" s="16"/>
      <c r="U32" s="16"/>
      <c r="V32" s="16"/>
    </row>
    <row r="33" spans="1:22" hidden="1" x14ac:dyDescent="0.25">
      <c r="A33" s="16"/>
      <c r="B33" s="16"/>
      <c r="C33" s="16"/>
      <c r="D33" s="16"/>
      <c r="E33" s="16"/>
      <c r="F33" s="16"/>
      <c r="G33" s="16"/>
      <c r="H33" s="16"/>
      <c r="I33" s="16"/>
      <c r="J33" s="16"/>
      <c r="K33" s="16"/>
      <c r="L33" s="16"/>
      <c r="M33" s="16"/>
      <c r="N33" s="16"/>
      <c r="O33" s="16"/>
      <c r="P33" s="16"/>
      <c r="Q33" s="16"/>
      <c r="R33" s="16"/>
      <c r="S33" s="16"/>
      <c r="T33" s="16"/>
      <c r="U33" s="16"/>
      <c r="V33" s="16"/>
    </row>
    <row r="34" spans="1:22" hidden="1" x14ac:dyDescent="0.25">
      <c r="A34" s="16"/>
      <c r="B34" s="16"/>
      <c r="C34" s="16"/>
      <c r="D34" s="16"/>
      <c r="E34" s="16"/>
      <c r="F34" s="16"/>
      <c r="G34" s="16"/>
      <c r="H34" s="16"/>
      <c r="I34" s="16"/>
      <c r="J34" s="16"/>
      <c r="K34" s="16"/>
      <c r="L34" s="16"/>
      <c r="M34" s="16"/>
      <c r="N34" s="16"/>
      <c r="O34" s="16"/>
      <c r="P34" s="16"/>
      <c r="Q34" s="16"/>
      <c r="R34" s="16"/>
      <c r="S34" s="16"/>
      <c r="T34" s="16"/>
      <c r="U34" s="16"/>
      <c r="V34" s="16"/>
    </row>
    <row r="35" spans="1:22" hidden="1" x14ac:dyDescent="0.25">
      <c r="A35" s="16"/>
      <c r="B35" s="16"/>
      <c r="C35" s="16"/>
      <c r="D35" s="16"/>
      <c r="E35" s="16"/>
      <c r="F35" s="16"/>
      <c r="G35" s="16"/>
      <c r="H35" s="16"/>
      <c r="I35" s="16"/>
      <c r="J35" s="16"/>
      <c r="K35" s="16"/>
      <c r="L35" s="16"/>
      <c r="M35" s="16"/>
      <c r="N35" s="16"/>
      <c r="O35" s="16"/>
      <c r="P35" s="16"/>
      <c r="Q35" s="16"/>
      <c r="R35" s="16"/>
      <c r="S35" s="16"/>
      <c r="T35" s="16"/>
      <c r="U35" s="16"/>
      <c r="V35" s="16"/>
    </row>
    <row r="36" spans="1:22" hidden="1" x14ac:dyDescent="0.25">
      <c r="A36" s="16"/>
      <c r="B36" s="16"/>
      <c r="C36" s="16"/>
      <c r="D36" s="16"/>
      <c r="E36" s="16"/>
      <c r="F36" s="16"/>
      <c r="G36" s="16"/>
      <c r="H36" s="16"/>
      <c r="I36" s="16"/>
      <c r="J36" s="16"/>
      <c r="K36" s="16"/>
      <c r="L36" s="16"/>
      <c r="M36" s="16"/>
      <c r="N36" s="16"/>
      <c r="O36" s="16"/>
      <c r="P36" s="16"/>
      <c r="Q36" s="16"/>
      <c r="R36" s="16"/>
      <c r="S36" s="16"/>
      <c r="T36" s="16"/>
      <c r="U36" s="16"/>
      <c r="V36" s="16"/>
    </row>
    <row r="37" spans="1:22" hidden="1" x14ac:dyDescent="0.25">
      <c r="A37" s="16"/>
      <c r="B37" s="16"/>
      <c r="C37" s="16"/>
      <c r="D37" s="16"/>
      <c r="E37" s="16"/>
      <c r="F37" s="16"/>
      <c r="G37" s="16"/>
      <c r="H37" s="16"/>
      <c r="I37" s="16"/>
      <c r="J37" s="16"/>
      <c r="K37" s="16"/>
      <c r="L37" s="16"/>
      <c r="M37" s="16"/>
      <c r="N37" s="16"/>
      <c r="O37" s="16"/>
      <c r="P37" s="16"/>
      <c r="Q37" s="16"/>
      <c r="R37" s="16"/>
      <c r="S37" s="16"/>
      <c r="T37" s="16"/>
      <c r="U37" s="16"/>
      <c r="V37" s="16"/>
    </row>
    <row r="38" spans="1:22" hidden="1" x14ac:dyDescent="0.25">
      <c r="A38" s="16"/>
      <c r="B38" s="16"/>
      <c r="C38" s="16"/>
      <c r="D38" s="16"/>
      <c r="E38" s="16"/>
      <c r="F38" s="16"/>
      <c r="G38" s="16"/>
      <c r="H38" s="16"/>
      <c r="I38" s="16"/>
      <c r="J38" s="16"/>
      <c r="K38" s="16"/>
      <c r="L38" s="16"/>
      <c r="M38" s="16"/>
      <c r="N38" s="16"/>
      <c r="O38" s="16"/>
      <c r="P38" s="16"/>
      <c r="Q38" s="16"/>
      <c r="R38" s="16"/>
      <c r="S38" s="16"/>
      <c r="T38" s="16"/>
      <c r="U38" s="16"/>
      <c r="V38" s="16"/>
    </row>
    <row r="39" spans="1:22" hidden="1" x14ac:dyDescent="0.25">
      <c r="A39" s="16"/>
      <c r="B39" s="16"/>
      <c r="C39" s="16"/>
      <c r="D39" s="16"/>
      <c r="E39" s="16"/>
      <c r="F39" s="16"/>
      <c r="G39" s="16"/>
      <c r="H39" s="16"/>
      <c r="I39" s="16"/>
      <c r="J39" s="16"/>
      <c r="K39" s="16"/>
      <c r="L39" s="16"/>
      <c r="M39" s="16"/>
      <c r="N39" s="16"/>
      <c r="O39" s="16"/>
      <c r="P39" s="16"/>
      <c r="Q39" s="16"/>
      <c r="R39" s="16"/>
      <c r="S39" s="16"/>
      <c r="T39" s="16"/>
      <c r="U39" s="16"/>
      <c r="V39" s="16"/>
    </row>
    <row r="40" spans="1:22" hidden="1" x14ac:dyDescent="0.25">
      <c r="A40" s="16"/>
      <c r="B40" s="16"/>
      <c r="C40" s="16"/>
      <c r="D40" s="16"/>
      <c r="E40" s="16"/>
      <c r="F40" s="16"/>
      <c r="G40" s="16"/>
      <c r="H40" s="16"/>
      <c r="I40" s="16"/>
      <c r="J40" s="16"/>
      <c r="K40" s="16"/>
      <c r="L40" s="16"/>
      <c r="M40" s="16"/>
      <c r="N40" s="16"/>
      <c r="O40" s="16"/>
      <c r="P40" s="16"/>
      <c r="Q40" s="16"/>
      <c r="R40" s="16"/>
      <c r="S40" s="16"/>
      <c r="T40" s="16"/>
      <c r="U40" s="16"/>
      <c r="V40" s="16"/>
    </row>
    <row r="41" spans="1:22" hidden="1" x14ac:dyDescent="0.25">
      <c r="A41" s="16"/>
      <c r="B41" s="16"/>
      <c r="C41" s="16"/>
      <c r="D41" s="16"/>
      <c r="E41" s="16"/>
      <c r="F41" s="16"/>
      <c r="G41" s="16"/>
      <c r="H41" s="16"/>
      <c r="I41" s="16"/>
      <c r="J41" s="16"/>
      <c r="K41" s="16"/>
      <c r="L41" s="16"/>
      <c r="M41" s="16"/>
      <c r="N41" s="16"/>
      <c r="O41" s="16"/>
      <c r="P41" s="16"/>
      <c r="Q41" s="16"/>
      <c r="R41" s="16"/>
      <c r="S41" s="16"/>
      <c r="T41" s="16"/>
      <c r="U41" s="16"/>
      <c r="V41" s="16"/>
    </row>
    <row r="42" spans="1:22" hidden="1" x14ac:dyDescent="0.25">
      <c r="A42" s="16"/>
      <c r="B42" s="16"/>
      <c r="C42" s="16"/>
      <c r="D42" s="16"/>
      <c r="E42" s="16"/>
      <c r="F42" s="16"/>
      <c r="G42" s="16"/>
      <c r="H42" s="16"/>
      <c r="I42" s="16"/>
      <c r="J42" s="16"/>
      <c r="K42" s="16"/>
      <c r="L42" s="16"/>
      <c r="M42" s="16"/>
      <c r="N42" s="16"/>
      <c r="O42" s="16"/>
      <c r="P42" s="16"/>
      <c r="Q42" s="16"/>
      <c r="R42" s="16"/>
      <c r="S42" s="16"/>
      <c r="T42" s="16"/>
      <c r="U42" s="16"/>
      <c r="V42" s="16"/>
    </row>
    <row r="43" spans="1:22" hidden="1" x14ac:dyDescent="0.25">
      <c r="A43" s="16"/>
      <c r="B43" s="16"/>
      <c r="C43" s="16"/>
      <c r="D43" s="16"/>
      <c r="E43" s="16"/>
      <c r="F43" s="16"/>
      <c r="G43" s="16"/>
      <c r="H43" s="16"/>
      <c r="I43" s="16"/>
      <c r="J43" s="16"/>
      <c r="K43" s="16"/>
      <c r="L43" s="16"/>
      <c r="M43" s="16"/>
      <c r="N43" s="16"/>
      <c r="O43" s="16"/>
      <c r="P43" s="16"/>
      <c r="Q43" s="16"/>
      <c r="R43" s="16"/>
      <c r="S43" s="16"/>
      <c r="T43" s="16"/>
      <c r="U43" s="16"/>
      <c r="V43" s="16"/>
    </row>
    <row r="44" spans="1:22" hidden="1" x14ac:dyDescent="0.25">
      <c r="A44" s="16"/>
      <c r="B44" s="16"/>
      <c r="C44" s="16"/>
      <c r="D44" s="16"/>
      <c r="E44" s="16"/>
      <c r="F44" s="16"/>
      <c r="G44" s="16"/>
      <c r="H44" s="16"/>
      <c r="I44" s="16"/>
      <c r="J44" s="16"/>
      <c r="K44" s="16"/>
      <c r="L44" s="16"/>
      <c r="M44" s="16"/>
      <c r="N44" s="16"/>
      <c r="O44" s="16"/>
      <c r="P44" s="16"/>
      <c r="Q44" s="16"/>
      <c r="R44" s="16"/>
      <c r="S44" s="16"/>
      <c r="T44" s="16"/>
      <c r="U44" s="16"/>
      <c r="V44" s="16"/>
    </row>
    <row r="45" spans="1:22" hidden="1" x14ac:dyDescent="0.25">
      <c r="A45" s="16"/>
      <c r="B45" s="16"/>
      <c r="C45" s="16"/>
      <c r="D45" s="16"/>
      <c r="E45" s="16"/>
      <c r="F45" s="16"/>
      <c r="G45" s="16"/>
      <c r="H45" s="16"/>
      <c r="I45" s="16"/>
      <c r="J45" s="16"/>
      <c r="K45" s="16"/>
      <c r="L45" s="16"/>
      <c r="M45" s="16"/>
      <c r="N45" s="16"/>
      <c r="O45" s="16"/>
      <c r="P45" s="16"/>
      <c r="Q45" s="16"/>
      <c r="R45" s="16"/>
      <c r="S45" s="16"/>
      <c r="T45" s="16"/>
      <c r="U45" s="16"/>
      <c r="V45" s="16"/>
    </row>
    <row r="46" spans="1:22" hidden="1" x14ac:dyDescent="0.25">
      <c r="A46" s="16"/>
      <c r="B46" s="16"/>
      <c r="C46" s="16"/>
      <c r="D46" s="16"/>
      <c r="E46" s="16"/>
      <c r="F46" s="16"/>
      <c r="G46" s="16"/>
      <c r="H46" s="16"/>
      <c r="I46" s="16"/>
      <c r="J46" s="16"/>
      <c r="K46" s="16"/>
      <c r="L46" s="16"/>
      <c r="M46" s="16"/>
      <c r="N46" s="16"/>
      <c r="O46" s="16"/>
      <c r="P46" s="16"/>
      <c r="Q46" s="16"/>
      <c r="R46" s="16"/>
      <c r="S46" s="16"/>
      <c r="T46" s="16"/>
      <c r="U46" s="16"/>
      <c r="V46" s="16"/>
    </row>
    <row r="47" spans="1:22" hidden="1" x14ac:dyDescent="0.25">
      <c r="A47" s="16"/>
      <c r="B47" s="16"/>
      <c r="C47" s="16"/>
      <c r="D47" s="16"/>
      <c r="E47" s="16"/>
      <c r="F47" s="16"/>
      <c r="G47" s="16"/>
      <c r="H47" s="16"/>
      <c r="I47" s="16"/>
      <c r="J47" s="16"/>
      <c r="K47" s="16"/>
      <c r="L47" s="16"/>
      <c r="M47" s="16"/>
      <c r="N47" s="16"/>
      <c r="O47" s="16"/>
      <c r="P47" s="16"/>
      <c r="Q47" s="16"/>
      <c r="R47" s="16"/>
      <c r="S47" s="16"/>
      <c r="T47" s="16"/>
      <c r="U47" s="16"/>
      <c r="V47" s="16"/>
    </row>
    <row r="48" spans="1:22" hidden="1" x14ac:dyDescent="0.25">
      <c r="A48" s="16"/>
      <c r="B48" s="16"/>
      <c r="C48" s="16"/>
      <c r="D48" s="16"/>
      <c r="E48" s="16"/>
      <c r="F48" s="16"/>
      <c r="G48" s="16"/>
      <c r="H48" s="16"/>
      <c r="I48" s="16"/>
      <c r="J48" s="16"/>
      <c r="K48" s="16"/>
      <c r="L48" s="16"/>
      <c r="M48" s="16"/>
      <c r="N48" s="16"/>
      <c r="O48" s="16"/>
      <c r="P48" s="16"/>
      <c r="Q48" s="16"/>
      <c r="R48" s="16"/>
      <c r="S48" s="16"/>
      <c r="T48" s="16"/>
      <c r="U48" s="16"/>
      <c r="V48" s="16"/>
    </row>
    <row r="49" spans="1:22" hidden="1" x14ac:dyDescent="0.25">
      <c r="A49" s="16"/>
      <c r="B49" s="16"/>
      <c r="C49" s="16"/>
      <c r="D49" s="16"/>
      <c r="E49" s="16"/>
      <c r="F49" s="16"/>
      <c r="G49" s="16"/>
      <c r="H49" s="16"/>
      <c r="I49" s="16"/>
      <c r="J49" s="16"/>
      <c r="K49" s="16"/>
      <c r="L49" s="16"/>
      <c r="M49" s="16"/>
      <c r="N49" s="16"/>
      <c r="O49" s="16"/>
      <c r="P49" s="16"/>
      <c r="Q49" s="16"/>
      <c r="R49" s="16"/>
      <c r="S49" s="16"/>
      <c r="T49" s="16"/>
      <c r="U49" s="16"/>
      <c r="V49" s="16"/>
    </row>
    <row r="50" spans="1:22" hidden="1" x14ac:dyDescent="0.25">
      <c r="A50" s="16"/>
      <c r="B50" s="16"/>
      <c r="C50" s="16"/>
      <c r="D50" s="16"/>
      <c r="E50" s="16"/>
      <c r="F50" s="16"/>
      <c r="G50" s="16"/>
      <c r="H50" s="16"/>
      <c r="I50" s="16"/>
      <c r="J50" s="16"/>
      <c r="K50" s="16"/>
      <c r="L50" s="16"/>
      <c r="M50" s="16"/>
      <c r="N50" s="16"/>
      <c r="O50" s="16"/>
      <c r="P50" s="16"/>
      <c r="Q50" s="16"/>
      <c r="R50" s="16"/>
      <c r="S50" s="16"/>
      <c r="T50" s="16"/>
      <c r="U50" s="16"/>
      <c r="V50" s="16"/>
    </row>
    <row r="51" spans="1:22" hidden="1" x14ac:dyDescent="0.25">
      <c r="A51" s="16"/>
      <c r="B51" s="16"/>
      <c r="C51" s="16"/>
      <c r="D51" s="16"/>
      <c r="E51" s="16"/>
      <c r="F51" s="16"/>
      <c r="G51" s="16"/>
      <c r="H51" s="16"/>
      <c r="I51" s="16"/>
      <c r="J51" s="16"/>
      <c r="K51" s="16"/>
      <c r="L51" s="16"/>
      <c r="M51" s="16"/>
      <c r="N51" s="16"/>
      <c r="O51" s="16"/>
      <c r="P51" s="16"/>
      <c r="Q51" s="16"/>
      <c r="R51" s="16"/>
      <c r="S51" s="16"/>
      <c r="T51" s="16"/>
      <c r="U51" s="16"/>
      <c r="V51" s="16"/>
    </row>
    <row r="52" spans="1:22" hidden="1" x14ac:dyDescent="0.25">
      <c r="A52" s="16"/>
      <c r="B52" s="16"/>
      <c r="C52" s="16"/>
      <c r="D52" s="16"/>
      <c r="E52" s="16"/>
      <c r="F52" s="16"/>
      <c r="G52" s="16"/>
      <c r="H52" s="16"/>
      <c r="I52" s="16"/>
      <c r="J52" s="16"/>
      <c r="K52" s="16"/>
      <c r="L52" s="16"/>
      <c r="M52" s="16"/>
      <c r="N52" s="16"/>
      <c r="O52" s="16"/>
      <c r="P52" s="16"/>
      <c r="Q52" s="16"/>
      <c r="R52" s="16"/>
      <c r="S52" s="16"/>
      <c r="T52" s="16"/>
      <c r="U52" s="16"/>
      <c r="V52" s="16"/>
    </row>
    <row r="53" spans="1:22" x14ac:dyDescent="0.25">
      <c r="A53" s="16"/>
      <c r="B53" s="16"/>
      <c r="C53" s="16"/>
      <c r="D53" s="16"/>
      <c r="E53" s="16"/>
      <c r="F53" s="16"/>
      <c r="G53" s="16"/>
      <c r="H53" s="16"/>
      <c r="I53" s="16"/>
      <c r="J53" s="16"/>
      <c r="K53" s="16"/>
      <c r="L53" s="16"/>
      <c r="M53" s="16"/>
      <c r="N53" s="16"/>
      <c r="O53" s="16"/>
      <c r="P53" s="16"/>
      <c r="Q53" s="16"/>
      <c r="R53" s="16"/>
      <c r="S53" s="16"/>
      <c r="T53" s="16"/>
      <c r="U53" s="16"/>
      <c r="V53" s="16"/>
    </row>
    <row r="54" spans="1:22" ht="74.25" hidden="1" customHeight="1" x14ac:dyDescent="0.25">
      <c r="A54" s="16"/>
      <c r="B54" s="16"/>
      <c r="C54" s="16"/>
      <c r="D54" s="16"/>
      <c r="E54" s="16"/>
      <c r="F54" s="16"/>
      <c r="G54" s="16"/>
      <c r="H54" s="16"/>
      <c r="I54" s="16"/>
      <c r="J54" s="16"/>
      <c r="K54" s="16"/>
      <c r="L54" s="16"/>
      <c r="M54" s="16"/>
      <c r="N54" s="16"/>
      <c r="O54" s="16"/>
      <c r="P54" s="16"/>
      <c r="Q54" s="16"/>
      <c r="R54" s="16"/>
      <c r="S54" s="16"/>
      <c r="T54" s="16"/>
      <c r="U54" s="16"/>
      <c r="V54" s="16"/>
    </row>
    <row r="55" spans="1:22" hidden="1" x14ac:dyDescent="0.25">
      <c r="A55" s="16"/>
      <c r="B55" s="16"/>
      <c r="C55" s="16"/>
      <c r="D55" s="16"/>
      <c r="E55" s="16"/>
      <c r="F55" s="16"/>
      <c r="G55" s="16"/>
      <c r="H55" s="16"/>
      <c r="I55" s="16"/>
      <c r="J55" s="16"/>
      <c r="K55" s="16"/>
      <c r="L55" s="16"/>
      <c r="M55" s="16"/>
      <c r="N55" s="16"/>
      <c r="O55" s="16"/>
      <c r="P55" s="16"/>
      <c r="Q55" s="16"/>
      <c r="R55" s="16"/>
      <c r="S55" s="16"/>
      <c r="T55" s="16"/>
      <c r="U55" s="16"/>
      <c r="V55" s="16"/>
    </row>
    <row r="56" spans="1:22" hidden="1" x14ac:dyDescent="0.25">
      <c r="A56" s="16"/>
      <c r="B56" s="16"/>
      <c r="C56" s="16"/>
      <c r="D56" s="16"/>
      <c r="E56" s="16"/>
      <c r="F56" s="16"/>
      <c r="G56" s="16"/>
      <c r="H56" s="16"/>
      <c r="I56" s="16"/>
      <c r="J56" s="16"/>
      <c r="K56" s="16"/>
      <c r="L56" s="16"/>
      <c r="M56" s="16"/>
      <c r="N56" s="16"/>
      <c r="O56" s="16"/>
      <c r="P56" s="16"/>
      <c r="Q56" s="16"/>
      <c r="R56" s="16"/>
      <c r="S56" s="16"/>
      <c r="T56" s="16"/>
      <c r="U56" s="16"/>
      <c r="V56" s="16"/>
    </row>
    <row r="57" spans="1:22" hidden="1" x14ac:dyDescent="0.25">
      <c r="A57" s="16"/>
      <c r="B57" s="16"/>
      <c r="C57" s="16"/>
      <c r="D57" s="16"/>
      <c r="E57" s="16"/>
      <c r="F57" s="16"/>
      <c r="G57" s="16"/>
      <c r="H57" s="16"/>
      <c r="I57" s="16"/>
      <c r="J57" s="16"/>
      <c r="K57" s="16"/>
      <c r="L57" s="16"/>
      <c r="M57" s="16"/>
      <c r="N57" s="16"/>
      <c r="O57" s="16"/>
      <c r="P57" s="16"/>
      <c r="Q57" s="16"/>
      <c r="R57" s="16"/>
      <c r="S57" s="16"/>
      <c r="T57" s="16"/>
      <c r="U57" s="16"/>
      <c r="V57" s="16"/>
    </row>
    <row r="58" spans="1:22" hidden="1" x14ac:dyDescent="0.25">
      <c r="A58" s="16"/>
      <c r="B58" s="16"/>
      <c r="C58" s="16"/>
      <c r="D58" s="16"/>
      <c r="E58" s="16"/>
      <c r="F58" s="16"/>
      <c r="G58" s="16"/>
      <c r="H58" s="16"/>
      <c r="I58" s="16"/>
      <c r="J58" s="16"/>
      <c r="K58" s="16"/>
      <c r="L58" s="16"/>
      <c r="M58" s="16"/>
      <c r="N58" s="16"/>
      <c r="O58" s="16"/>
      <c r="P58" s="16"/>
      <c r="Q58" s="16"/>
      <c r="R58" s="16"/>
      <c r="S58" s="16"/>
      <c r="T58" s="16"/>
      <c r="U58" s="16"/>
      <c r="V58" s="16"/>
    </row>
    <row r="59" spans="1:22" hidden="1" x14ac:dyDescent="0.25">
      <c r="A59" s="16"/>
      <c r="B59" s="16"/>
      <c r="C59" s="16"/>
      <c r="D59" s="16"/>
      <c r="E59" s="16"/>
      <c r="F59" s="16"/>
      <c r="G59" s="16"/>
      <c r="H59" s="16"/>
      <c r="I59" s="16"/>
      <c r="J59" s="16"/>
      <c r="K59" s="16"/>
      <c r="L59" s="16"/>
      <c r="M59" s="16"/>
      <c r="N59" s="16"/>
      <c r="O59" s="16"/>
      <c r="P59" s="16"/>
      <c r="Q59" s="16"/>
      <c r="R59" s="16"/>
      <c r="S59" s="16"/>
      <c r="T59" s="16"/>
      <c r="U59" s="16"/>
      <c r="V59" s="16"/>
    </row>
    <row r="60" spans="1:22" hidden="1" x14ac:dyDescent="0.25">
      <c r="A60" s="16"/>
      <c r="B60" s="16"/>
      <c r="C60" s="16"/>
      <c r="D60" s="16"/>
      <c r="E60" s="16"/>
      <c r="F60" s="16"/>
      <c r="G60" s="16"/>
      <c r="H60" s="16"/>
      <c r="I60" s="16"/>
      <c r="J60" s="16"/>
      <c r="K60" s="16"/>
      <c r="L60" s="16"/>
      <c r="M60" s="16"/>
      <c r="N60" s="16"/>
      <c r="O60" s="16"/>
      <c r="P60" s="16"/>
      <c r="Q60" s="16"/>
      <c r="R60" s="16"/>
      <c r="S60" s="16"/>
      <c r="T60" s="16"/>
      <c r="U60" s="16"/>
      <c r="V60" s="16"/>
    </row>
    <row r="61" spans="1:22" hidden="1" x14ac:dyDescent="0.25">
      <c r="A61" s="16"/>
      <c r="B61" s="16"/>
      <c r="C61" s="16"/>
      <c r="D61" s="16"/>
      <c r="E61" s="16"/>
      <c r="F61" s="16"/>
      <c r="G61" s="16"/>
      <c r="H61" s="16"/>
      <c r="I61" s="16"/>
      <c r="J61" s="16"/>
      <c r="K61" s="16"/>
      <c r="L61" s="16"/>
      <c r="M61" s="16"/>
      <c r="N61" s="16"/>
      <c r="O61" s="16"/>
      <c r="P61" s="16"/>
      <c r="Q61" s="16"/>
      <c r="R61" s="16"/>
      <c r="S61" s="16"/>
      <c r="T61" s="16"/>
      <c r="U61" s="16"/>
      <c r="V61" s="16"/>
    </row>
    <row r="62" spans="1:22" hidden="1" x14ac:dyDescent="0.25">
      <c r="A62" s="16"/>
      <c r="B62" s="16"/>
      <c r="C62" s="16"/>
      <c r="D62" s="16"/>
      <c r="E62" s="16"/>
      <c r="F62" s="16"/>
      <c r="G62" s="16"/>
      <c r="H62" s="16"/>
      <c r="I62" s="16"/>
      <c r="J62" s="16"/>
      <c r="K62" s="16"/>
      <c r="L62" s="16"/>
      <c r="M62" s="16"/>
      <c r="N62" s="16"/>
      <c r="O62" s="16"/>
      <c r="P62" s="16"/>
      <c r="Q62" s="16"/>
      <c r="R62" s="16"/>
      <c r="S62" s="16"/>
      <c r="T62" s="16"/>
      <c r="U62" s="16"/>
      <c r="V62" s="16"/>
    </row>
    <row r="63" spans="1:22" hidden="1" x14ac:dyDescent="0.25">
      <c r="A63" s="16"/>
      <c r="B63" s="16"/>
      <c r="C63" s="16"/>
      <c r="D63" s="16"/>
      <c r="E63" s="16"/>
      <c r="F63" s="16"/>
      <c r="G63" s="16"/>
      <c r="H63" s="16"/>
      <c r="I63" s="16"/>
      <c r="J63" s="16"/>
      <c r="K63" s="16"/>
      <c r="L63" s="16"/>
      <c r="M63" s="16"/>
      <c r="N63" s="16"/>
      <c r="O63" s="16"/>
      <c r="P63" s="16"/>
      <c r="Q63" s="16"/>
      <c r="R63" s="16"/>
      <c r="S63" s="16"/>
      <c r="T63" s="16"/>
      <c r="U63" s="16"/>
      <c r="V63" s="16"/>
    </row>
    <row r="64" spans="1:22" hidden="1" x14ac:dyDescent="0.25">
      <c r="A64" s="16"/>
      <c r="B64" s="16"/>
      <c r="C64" s="16"/>
      <c r="D64" s="16"/>
      <c r="E64" s="16"/>
      <c r="F64" s="16"/>
      <c r="G64" s="16"/>
      <c r="H64" s="16"/>
      <c r="I64" s="16"/>
      <c r="J64" s="16"/>
      <c r="K64" s="16"/>
      <c r="L64" s="16"/>
      <c r="M64" s="16"/>
      <c r="N64" s="16"/>
      <c r="O64" s="16"/>
      <c r="P64" s="16"/>
      <c r="Q64" s="16"/>
      <c r="R64" s="16"/>
      <c r="S64" s="16"/>
      <c r="T64" s="16"/>
      <c r="U64" s="16"/>
      <c r="V64" s="16"/>
    </row>
    <row r="65" spans="1:22" hidden="1" x14ac:dyDescent="0.25">
      <c r="A65" s="16"/>
      <c r="B65" s="16"/>
      <c r="C65" s="16"/>
      <c r="D65" s="16"/>
      <c r="E65" s="16"/>
      <c r="F65" s="16"/>
      <c r="G65" s="16"/>
      <c r="H65" s="16"/>
      <c r="I65" s="16"/>
      <c r="J65" s="16"/>
      <c r="K65" s="16"/>
      <c r="L65" s="16"/>
      <c r="M65" s="16"/>
      <c r="N65" s="16"/>
      <c r="O65" s="16"/>
      <c r="P65" s="16"/>
      <c r="Q65" s="16"/>
      <c r="R65" s="16"/>
      <c r="S65" s="16"/>
      <c r="T65" s="16"/>
      <c r="U65" s="16"/>
      <c r="V65" s="16"/>
    </row>
    <row r="66" spans="1:22" hidden="1" x14ac:dyDescent="0.25">
      <c r="A66" s="16"/>
      <c r="B66" s="16"/>
      <c r="C66" s="16"/>
      <c r="D66" s="16"/>
      <c r="E66" s="16"/>
      <c r="F66" s="16"/>
      <c r="G66" s="16"/>
      <c r="H66" s="16"/>
      <c r="I66" s="16"/>
      <c r="J66" s="16"/>
      <c r="K66" s="16"/>
      <c r="L66" s="16"/>
      <c r="M66" s="16"/>
      <c r="N66" s="16"/>
      <c r="O66" s="16"/>
      <c r="P66" s="16"/>
      <c r="Q66" s="16"/>
      <c r="R66" s="16"/>
      <c r="S66" s="16"/>
      <c r="T66" s="16"/>
      <c r="U66" s="16"/>
      <c r="V66" s="16"/>
    </row>
    <row r="67" spans="1:22" x14ac:dyDescent="0.25">
      <c r="A67" s="16"/>
      <c r="B67" s="16"/>
      <c r="C67" s="16"/>
      <c r="D67" s="16"/>
      <c r="E67" s="16"/>
      <c r="F67" s="16"/>
      <c r="G67" s="16"/>
      <c r="H67" s="16"/>
      <c r="I67" s="16"/>
      <c r="J67" s="16"/>
      <c r="K67" s="16"/>
      <c r="L67" s="16"/>
      <c r="M67" s="16"/>
      <c r="N67" s="16"/>
      <c r="O67" s="16"/>
      <c r="P67" s="16"/>
      <c r="Q67" s="16"/>
      <c r="R67" s="16"/>
      <c r="S67" s="16"/>
      <c r="T67" s="16"/>
      <c r="U67" s="16"/>
      <c r="V67" s="16"/>
    </row>
    <row r="68" spans="1:22" hidden="1" x14ac:dyDescent="0.25">
      <c r="A68" s="16"/>
      <c r="B68" s="16"/>
      <c r="C68" s="16"/>
      <c r="D68" s="16"/>
      <c r="E68" s="16"/>
      <c r="F68" s="16"/>
      <c r="G68" s="16"/>
      <c r="H68" s="16"/>
      <c r="I68" s="16"/>
      <c r="J68" s="16"/>
      <c r="K68" s="16"/>
      <c r="L68" s="16"/>
      <c r="M68" s="16"/>
      <c r="N68" s="16"/>
      <c r="O68" s="16"/>
      <c r="P68" s="16"/>
      <c r="Q68" s="16"/>
      <c r="R68" s="16"/>
      <c r="S68" s="16"/>
      <c r="T68" s="16"/>
      <c r="U68" s="16"/>
      <c r="V68" s="16"/>
    </row>
    <row r="69" spans="1:22" x14ac:dyDescent="0.25">
      <c r="A69" s="16"/>
      <c r="B69" s="16"/>
      <c r="C69" s="16"/>
      <c r="D69" s="16"/>
      <c r="E69" s="16"/>
      <c r="F69" s="16"/>
      <c r="G69" s="16"/>
      <c r="H69" s="16"/>
      <c r="I69" s="16"/>
      <c r="J69" s="16"/>
      <c r="K69" s="16"/>
      <c r="L69" s="16"/>
      <c r="M69" s="16"/>
      <c r="N69" s="16"/>
      <c r="O69" s="16"/>
      <c r="P69" s="16"/>
      <c r="Q69" s="16"/>
      <c r="R69" s="16"/>
      <c r="S69" s="16"/>
      <c r="T69" s="16"/>
      <c r="U69" s="16"/>
      <c r="V69" s="16"/>
    </row>
    <row r="70" spans="1:22" x14ac:dyDescent="0.25">
      <c r="A70" s="16"/>
      <c r="B70" s="16"/>
      <c r="C70" s="16"/>
      <c r="D70" s="16"/>
      <c r="E70" s="16"/>
      <c r="F70" s="16"/>
      <c r="G70" s="16"/>
      <c r="H70" s="16"/>
      <c r="I70" s="16"/>
      <c r="J70" s="16"/>
      <c r="K70" s="16"/>
      <c r="L70" s="16"/>
      <c r="M70" s="16"/>
      <c r="N70" s="16"/>
      <c r="O70" s="16"/>
      <c r="P70" s="16"/>
      <c r="Q70" s="16"/>
      <c r="R70" s="16"/>
      <c r="S70" s="16"/>
      <c r="T70" s="16"/>
      <c r="U70" s="16"/>
      <c r="V70" s="16"/>
    </row>
    <row r="71" spans="1:22" x14ac:dyDescent="0.25">
      <c r="A71" s="16"/>
      <c r="B71" s="16"/>
      <c r="C71" s="16"/>
      <c r="D71" s="16"/>
      <c r="E71" s="16"/>
      <c r="F71" s="16"/>
      <c r="G71" s="16"/>
      <c r="H71" s="16"/>
      <c r="I71" s="16"/>
      <c r="J71" s="16"/>
      <c r="K71" s="16"/>
      <c r="L71" s="16"/>
      <c r="M71" s="16"/>
      <c r="N71" s="16"/>
      <c r="O71" s="16"/>
      <c r="P71" s="16"/>
      <c r="Q71" s="16"/>
      <c r="R71" s="16"/>
      <c r="S71" s="16"/>
      <c r="T71" s="16"/>
      <c r="U71" s="16"/>
      <c r="V71" s="16"/>
    </row>
    <row r="72" spans="1:22" x14ac:dyDescent="0.25">
      <c r="A72" s="16"/>
      <c r="B72" s="16"/>
      <c r="C72" s="16"/>
      <c r="D72" s="16"/>
      <c r="E72" s="16"/>
      <c r="F72" s="16"/>
      <c r="G72" s="16"/>
      <c r="H72" s="16"/>
      <c r="I72" s="16"/>
      <c r="J72" s="16"/>
      <c r="K72" s="16"/>
      <c r="L72" s="16"/>
      <c r="M72" s="16"/>
      <c r="N72" s="16"/>
      <c r="O72" s="16"/>
      <c r="P72" s="16"/>
      <c r="Q72" s="16"/>
      <c r="R72" s="16"/>
      <c r="S72" s="16"/>
      <c r="T72" s="16"/>
      <c r="U72" s="16"/>
      <c r="V72" s="16"/>
    </row>
    <row r="73" spans="1:22" x14ac:dyDescent="0.25">
      <c r="A73" s="16"/>
      <c r="B73" s="16"/>
      <c r="C73" s="16"/>
      <c r="D73" s="16"/>
      <c r="E73" s="16"/>
      <c r="F73" s="16"/>
      <c r="G73" s="16"/>
      <c r="H73" s="16"/>
      <c r="I73" s="16"/>
      <c r="J73" s="16"/>
      <c r="K73" s="16"/>
      <c r="L73" s="16"/>
      <c r="M73" s="16"/>
      <c r="N73" s="16"/>
      <c r="O73" s="16"/>
      <c r="P73" s="16"/>
      <c r="Q73" s="16"/>
      <c r="R73" s="16"/>
      <c r="S73" s="16"/>
      <c r="T73" s="16"/>
      <c r="U73" s="16"/>
      <c r="V73" s="16"/>
    </row>
    <row r="74" spans="1:22" x14ac:dyDescent="0.25">
      <c r="A74" s="16"/>
      <c r="B74" s="16"/>
      <c r="C74" s="16"/>
      <c r="D74" s="16"/>
      <c r="E74" s="16"/>
      <c r="F74" s="16"/>
      <c r="G74" s="16"/>
      <c r="H74" s="16"/>
      <c r="I74" s="16"/>
      <c r="J74" s="16"/>
      <c r="K74" s="16"/>
      <c r="L74" s="16"/>
      <c r="M74" s="16"/>
      <c r="N74" s="16"/>
      <c r="O74" s="16"/>
      <c r="P74" s="16"/>
      <c r="Q74" s="16"/>
      <c r="R74" s="16"/>
      <c r="S74" s="16"/>
      <c r="T74" s="16"/>
      <c r="U74" s="16"/>
      <c r="V74" s="16"/>
    </row>
    <row r="75" spans="1:22" x14ac:dyDescent="0.25">
      <c r="A75" s="16"/>
      <c r="B75" s="16"/>
      <c r="C75" s="16"/>
      <c r="D75" s="16"/>
      <c r="E75" s="16"/>
      <c r="F75" s="16"/>
      <c r="G75" s="16"/>
      <c r="H75" s="16"/>
      <c r="I75" s="16"/>
      <c r="J75" s="16"/>
      <c r="K75" s="16"/>
      <c r="L75" s="16"/>
      <c r="M75" s="16"/>
      <c r="N75" s="16"/>
      <c r="O75" s="16"/>
      <c r="P75" s="16"/>
      <c r="Q75" s="16"/>
      <c r="R75" s="16"/>
      <c r="S75" s="16"/>
      <c r="T75" s="16"/>
      <c r="U75" s="16"/>
      <c r="V75" s="16"/>
    </row>
    <row r="76" spans="1:22" x14ac:dyDescent="0.25">
      <c r="A76" s="16"/>
      <c r="B76" s="16"/>
      <c r="C76" s="16"/>
      <c r="D76" s="16"/>
      <c r="E76" s="16"/>
      <c r="F76" s="16"/>
      <c r="G76" s="16"/>
      <c r="H76" s="16"/>
      <c r="I76" s="16"/>
      <c r="J76" s="16"/>
      <c r="K76" s="16"/>
      <c r="L76" s="16"/>
      <c r="M76" s="16"/>
      <c r="N76" s="16"/>
      <c r="O76" s="16"/>
      <c r="P76" s="16"/>
      <c r="Q76" s="16"/>
      <c r="R76" s="16"/>
      <c r="S76" s="16"/>
      <c r="T76" s="16"/>
      <c r="U76" s="16"/>
      <c r="V76" s="16"/>
    </row>
    <row r="77" spans="1:22" x14ac:dyDescent="0.25">
      <c r="A77" s="16"/>
      <c r="B77" s="16"/>
      <c r="C77" s="16"/>
      <c r="D77" s="16"/>
      <c r="E77" s="16"/>
      <c r="F77" s="16"/>
      <c r="G77" s="16"/>
      <c r="H77" s="16"/>
      <c r="I77" s="16"/>
      <c r="J77" s="16"/>
      <c r="K77" s="16"/>
      <c r="L77" s="16"/>
      <c r="M77" s="16"/>
      <c r="N77" s="16"/>
      <c r="O77" s="16"/>
      <c r="P77" s="16"/>
      <c r="Q77" s="16"/>
      <c r="R77" s="16"/>
      <c r="S77" s="16"/>
      <c r="T77" s="16"/>
      <c r="U77" s="16"/>
      <c r="V77" s="16"/>
    </row>
    <row r="78" spans="1:22" x14ac:dyDescent="0.25">
      <c r="A78" s="16"/>
      <c r="B78" s="16"/>
      <c r="C78" s="16"/>
      <c r="D78" s="16"/>
      <c r="E78" s="16"/>
      <c r="F78" s="16"/>
      <c r="G78" s="16"/>
      <c r="H78" s="16"/>
      <c r="I78" s="16"/>
      <c r="J78" s="16"/>
      <c r="K78" s="16"/>
      <c r="L78" s="16"/>
      <c r="M78" s="16"/>
      <c r="N78" s="16"/>
      <c r="O78" s="16"/>
      <c r="P78" s="16"/>
      <c r="Q78" s="16"/>
      <c r="R78" s="16"/>
      <c r="S78" s="16"/>
      <c r="T78" s="16"/>
      <c r="U78" s="16"/>
      <c r="V78" s="16"/>
    </row>
    <row r="79" spans="1:22" x14ac:dyDescent="0.25">
      <c r="A79" s="16"/>
      <c r="B79" s="16"/>
      <c r="C79" s="16"/>
      <c r="D79" s="16"/>
      <c r="E79" s="16"/>
      <c r="F79" s="16"/>
      <c r="G79" s="16"/>
      <c r="H79" s="16"/>
      <c r="I79" s="16"/>
      <c r="J79" s="16"/>
      <c r="K79" s="16"/>
      <c r="L79" s="16"/>
      <c r="M79" s="16"/>
      <c r="N79" s="16"/>
      <c r="O79" s="16"/>
      <c r="P79" s="16"/>
      <c r="Q79" s="16"/>
      <c r="R79" s="16"/>
      <c r="S79" s="16"/>
      <c r="T79" s="16"/>
      <c r="U79" s="16"/>
      <c r="V79" s="16"/>
    </row>
    <row r="80" spans="1:22" x14ac:dyDescent="0.25">
      <c r="A80" s="16"/>
      <c r="B80" s="16"/>
      <c r="C80" s="16"/>
      <c r="D80" s="16"/>
      <c r="E80" s="16"/>
      <c r="F80" s="16"/>
      <c r="G80" s="16"/>
      <c r="H80" s="16"/>
      <c r="I80" s="16"/>
      <c r="J80" s="16"/>
      <c r="K80" s="16"/>
      <c r="L80" s="16"/>
      <c r="M80" s="16"/>
      <c r="N80" s="16"/>
      <c r="O80" s="16"/>
      <c r="P80" s="16"/>
      <c r="Q80" s="16"/>
      <c r="R80" s="16"/>
      <c r="S80" s="16"/>
      <c r="T80" s="16"/>
      <c r="U80" s="16"/>
      <c r="V80" s="16"/>
    </row>
    <row r="81" spans="1:22" x14ac:dyDescent="0.25">
      <c r="A81" s="16"/>
      <c r="B81" s="16"/>
      <c r="C81" s="16"/>
      <c r="D81" s="16"/>
      <c r="E81" s="16"/>
      <c r="F81" s="16"/>
      <c r="G81" s="16"/>
      <c r="H81" s="16"/>
      <c r="I81" s="16"/>
      <c r="J81" s="16"/>
      <c r="K81" s="16"/>
      <c r="L81" s="16"/>
      <c r="M81" s="16"/>
      <c r="N81" s="16"/>
      <c r="O81" s="16"/>
      <c r="P81" s="16"/>
      <c r="Q81" s="16"/>
      <c r="R81" s="16"/>
      <c r="S81" s="16"/>
      <c r="T81" s="16"/>
      <c r="U81" s="16"/>
      <c r="V81" s="16"/>
    </row>
    <row r="82" spans="1:22" x14ac:dyDescent="0.25">
      <c r="A82" s="16"/>
      <c r="B82" s="16"/>
      <c r="C82" s="16"/>
      <c r="D82" s="16"/>
      <c r="E82" s="16"/>
      <c r="F82" s="16"/>
      <c r="G82" s="16"/>
      <c r="H82" s="16"/>
      <c r="I82" s="16"/>
      <c r="J82" s="16"/>
      <c r="K82" s="16"/>
      <c r="L82" s="16"/>
      <c r="M82" s="16"/>
      <c r="N82" s="16"/>
      <c r="O82" s="16"/>
      <c r="P82" s="16"/>
      <c r="Q82" s="16"/>
      <c r="R82" s="16"/>
      <c r="S82" s="16"/>
      <c r="T82" s="16"/>
      <c r="U82" s="16"/>
      <c r="V82" s="16"/>
    </row>
    <row r="83" spans="1:22" x14ac:dyDescent="0.25">
      <c r="A83" s="16"/>
      <c r="B83" s="16"/>
      <c r="C83" s="16"/>
      <c r="D83" s="16"/>
      <c r="E83" s="16"/>
      <c r="F83" s="16"/>
      <c r="G83" s="16"/>
      <c r="H83" s="16"/>
      <c r="I83" s="16"/>
      <c r="J83" s="16"/>
      <c r="K83" s="16"/>
      <c r="L83" s="16"/>
      <c r="M83" s="16"/>
      <c r="N83" s="16"/>
      <c r="O83" s="16"/>
      <c r="P83" s="16"/>
      <c r="Q83" s="16"/>
      <c r="R83" s="16"/>
      <c r="S83" s="16"/>
      <c r="T83" s="16"/>
      <c r="U83" s="16"/>
      <c r="V83" s="16"/>
    </row>
    <row r="84" spans="1:22" x14ac:dyDescent="0.25">
      <c r="A84" s="16"/>
      <c r="B84" s="16"/>
      <c r="C84" s="16"/>
      <c r="D84" s="16"/>
      <c r="E84" s="16"/>
      <c r="F84" s="16"/>
      <c r="G84" s="16"/>
      <c r="H84" s="16"/>
      <c r="I84" s="16"/>
      <c r="J84" s="16"/>
      <c r="K84" s="16"/>
      <c r="L84" s="16"/>
      <c r="M84" s="16"/>
      <c r="N84" s="16"/>
      <c r="O84" s="16"/>
      <c r="P84" s="16"/>
      <c r="Q84" s="16"/>
      <c r="R84" s="16"/>
      <c r="S84" s="16"/>
      <c r="T84" s="16"/>
      <c r="U84" s="16"/>
      <c r="V84" s="16"/>
    </row>
    <row r="85" spans="1:22" x14ac:dyDescent="0.25">
      <c r="A85" s="16"/>
      <c r="B85" s="16"/>
      <c r="C85" s="16"/>
      <c r="D85" s="16"/>
      <c r="E85" s="16"/>
      <c r="F85" s="16"/>
      <c r="G85" s="16"/>
      <c r="H85" s="16"/>
      <c r="I85" s="16"/>
      <c r="J85" s="16"/>
      <c r="K85" s="16"/>
      <c r="L85" s="16"/>
      <c r="M85" s="16"/>
      <c r="N85" s="16"/>
      <c r="O85" s="16"/>
      <c r="P85" s="16"/>
      <c r="Q85" s="16"/>
      <c r="R85" s="16"/>
      <c r="S85" s="16"/>
      <c r="T85" s="16"/>
      <c r="U85" s="16"/>
      <c r="V85" s="16"/>
    </row>
    <row r="86" spans="1:22" x14ac:dyDescent="0.25">
      <c r="A86" s="16"/>
      <c r="B86" s="16"/>
      <c r="C86" s="16"/>
      <c r="D86" s="16"/>
      <c r="E86" s="16"/>
      <c r="F86" s="16"/>
      <c r="G86" s="16"/>
      <c r="H86" s="16"/>
      <c r="I86" s="16"/>
      <c r="J86" s="16"/>
      <c r="K86" s="16"/>
      <c r="L86" s="16"/>
      <c r="M86" s="16"/>
      <c r="N86" s="16"/>
      <c r="O86" s="16"/>
      <c r="P86" s="16"/>
      <c r="Q86" s="16"/>
      <c r="R86" s="16"/>
      <c r="S86" s="16"/>
      <c r="T86" s="16"/>
      <c r="U86" s="16"/>
      <c r="V86" s="16"/>
    </row>
    <row r="87" spans="1:22" x14ac:dyDescent="0.25">
      <c r="A87" s="16"/>
      <c r="B87" s="16"/>
      <c r="C87" s="16"/>
      <c r="D87" s="16"/>
      <c r="E87" s="16"/>
      <c r="F87" s="16"/>
      <c r="G87" s="16"/>
      <c r="H87" s="16"/>
      <c r="I87" s="16"/>
      <c r="J87" s="16"/>
      <c r="K87" s="16"/>
      <c r="L87" s="16"/>
      <c r="M87" s="16"/>
      <c r="N87" s="16"/>
      <c r="O87" s="16"/>
      <c r="P87" s="16"/>
      <c r="Q87" s="16"/>
      <c r="R87" s="16"/>
      <c r="S87" s="16"/>
      <c r="T87" s="16"/>
      <c r="U87" s="16"/>
      <c r="V87" s="16"/>
    </row>
    <row r="88" spans="1:22" x14ac:dyDescent="0.25">
      <c r="A88" s="16"/>
      <c r="B88" s="16"/>
      <c r="C88" s="16"/>
      <c r="D88" s="16"/>
      <c r="E88" s="16"/>
      <c r="F88" s="16"/>
      <c r="G88" s="16"/>
      <c r="H88" s="16"/>
      <c r="I88" s="16"/>
      <c r="J88" s="16"/>
      <c r="K88" s="16"/>
      <c r="L88" s="16"/>
      <c r="M88" s="16"/>
      <c r="N88" s="16"/>
      <c r="O88" s="16"/>
      <c r="P88" s="16"/>
      <c r="Q88" s="16"/>
      <c r="R88" s="16"/>
      <c r="S88" s="16"/>
      <c r="T88" s="16"/>
      <c r="U88" s="16"/>
      <c r="V88" s="16"/>
    </row>
    <row r="89" spans="1:22" x14ac:dyDescent="0.25">
      <c r="A89" s="16"/>
      <c r="B89" s="16"/>
      <c r="C89" s="16"/>
      <c r="D89" s="16"/>
      <c r="E89" s="16"/>
      <c r="F89" s="16"/>
      <c r="G89" s="16"/>
      <c r="H89" s="16"/>
      <c r="I89" s="16"/>
      <c r="J89" s="16"/>
      <c r="K89" s="16"/>
      <c r="L89" s="16"/>
      <c r="M89" s="16"/>
      <c r="N89" s="16"/>
      <c r="O89" s="16"/>
      <c r="P89" s="16"/>
      <c r="Q89" s="16"/>
      <c r="R89" s="16"/>
      <c r="S89" s="16"/>
      <c r="T89" s="16"/>
      <c r="U89" s="16"/>
      <c r="V89" s="16"/>
    </row>
    <row r="90" spans="1:22" x14ac:dyDescent="0.25">
      <c r="A90" s="16"/>
      <c r="B90" s="16"/>
      <c r="C90" s="16"/>
      <c r="D90" s="16"/>
      <c r="E90" s="16"/>
      <c r="F90" s="16"/>
      <c r="G90" s="16"/>
      <c r="H90" s="16"/>
      <c r="I90" s="16"/>
      <c r="J90" s="16"/>
      <c r="K90" s="16"/>
      <c r="L90" s="16"/>
      <c r="M90" s="16"/>
      <c r="N90" s="16"/>
      <c r="O90" s="16"/>
      <c r="P90" s="16"/>
      <c r="Q90" s="16"/>
      <c r="R90" s="16"/>
      <c r="S90" s="16"/>
      <c r="T90" s="16"/>
      <c r="U90" s="16"/>
      <c r="V90" s="16"/>
    </row>
    <row r="91" spans="1:22" x14ac:dyDescent="0.25">
      <c r="A91" s="16"/>
      <c r="B91" s="16"/>
      <c r="C91" s="16"/>
      <c r="D91" s="16"/>
      <c r="E91" s="16"/>
      <c r="F91" s="16"/>
      <c r="G91" s="16"/>
      <c r="H91" s="16"/>
      <c r="I91" s="16"/>
      <c r="J91" s="16"/>
      <c r="K91" s="16"/>
      <c r="L91" s="16"/>
      <c r="M91" s="16"/>
      <c r="N91" s="16"/>
      <c r="O91" s="16"/>
      <c r="P91" s="16"/>
      <c r="Q91" s="16"/>
      <c r="R91" s="16"/>
      <c r="S91" s="16"/>
      <c r="T91" s="16"/>
      <c r="U91" s="16"/>
      <c r="V91" s="16"/>
    </row>
    <row r="92" spans="1:22" x14ac:dyDescent="0.25">
      <c r="A92" s="16"/>
      <c r="B92" s="16"/>
      <c r="C92" s="16"/>
      <c r="D92" s="16"/>
      <c r="E92" s="16"/>
      <c r="F92" s="16"/>
      <c r="G92" s="16"/>
      <c r="H92" s="16"/>
      <c r="I92" s="16"/>
      <c r="J92" s="16"/>
      <c r="K92" s="16"/>
      <c r="L92" s="16"/>
      <c r="M92" s="16"/>
      <c r="N92" s="16"/>
      <c r="O92" s="16"/>
      <c r="P92" s="16"/>
      <c r="Q92" s="16"/>
      <c r="R92" s="16"/>
      <c r="S92" s="16"/>
      <c r="T92" s="16"/>
      <c r="U92" s="16"/>
      <c r="V92" s="16"/>
    </row>
    <row r="93" spans="1:22" x14ac:dyDescent="0.25">
      <c r="A93" s="16"/>
      <c r="B93" s="16"/>
      <c r="C93" s="16"/>
      <c r="D93" s="16"/>
      <c r="E93" s="16"/>
      <c r="F93" s="16"/>
      <c r="G93" s="16"/>
      <c r="H93" s="16"/>
      <c r="I93" s="16"/>
      <c r="J93" s="16"/>
      <c r="K93" s="16"/>
      <c r="L93" s="16"/>
      <c r="M93" s="16"/>
      <c r="N93" s="16"/>
      <c r="O93" s="16"/>
      <c r="P93" s="16"/>
      <c r="Q93" s="16"/>
      <c r="R93" s="16"/>
      <c r="S93" s="16"/>
      <c r="T93" s="16"/>
      <c r="U93" s="16"/>
      <c r="V93" s="16"/>
    </row>
    <row r="94" spans="1:22" x14ac:dyDescent="0.25">
      <c r="A94" s="16"/>
      <c r="B94" s="16"/>
      <c r="C94" s="16"/>
      <c r="D94" s="16"/>
      <c r="E94" s="16"/>
      <c r="F94" s="16"/>
      <c r="G94" s="16"/>
      <c r="H94" s="16"/>
      <c r="I94" s="16"/>
      <c r="J94" s="16"/>
      <c r="K94" s="16"/>
      <c r="L94" s="16"/>
      <c r="M94" s="16"/>
      <c r="N94" s="16"/>
      <c r="O94" s="16"/>
      <c r="P94" s="16"/>
      <c r="Q94" s="16"/>
      <c r="R94" s="16"/>
      <c r="S94" s="16"/>
      <c r="T94" s="16"/>
      <c r="U94" s="16"/>
      <c r="V94" s="16"/>
    </row>
    <row r="95" spans="1:22" x14ac:dyDescent="0.25">
      <c r="A95" s="16"/>
      <c r="B95" s="16"/>
      <c r="C95" s="16"/>
      <c r="D95" s="16"/>
      <c r="E95" s="16"/>
      <c r="F95" s="16"/>
      <c r="G95" s="16"/>
      <c r="H95" s="16"/>
      <c r="I95" s="16"/>
      <c r="J95" s="16"/>
      <c r="K95" s="16"/>
      <c r="L95" s="16"/>
      <c r="M95" s="16"/>
      <c r="N95" s="16"/>
      <c r="O95" s="16"/>
      <c r="P95" s="16"/>
      <c r="Q95" s="16"/>
      <c r="R95" s="16"/>
      <c r="S95" s="16"/>
      <c r="T95" s="16"/>
      <c r="U95" s="16"/>
      <c r="V95" s="16"/>
    </row>
    <row r="96" spans="1:22" x14ac:dyDescent="0.25">
      <c r="A96" s="16"/>
      <c r="B96" s="16"/>
      <c r="C96" s="16"/>
      <c r="D96" s="16"/>
      <c r="E96" s="16"/>
      <c r="F96" s="16"/>
      <c r="G96" s="16"/>
      <c r="H96" s="16"/>
      <c r="I96" s="16"/>
      <c r="J96" s="16"/>
      <c r="K96" s="16"/>
      <c r="L96" s="16"/>
      <c r="M96" s="16"/>
      <c r="N96" s="16"/>
      <c r="O96" s="16"/>
      <c r="P96" s="16"/>
      <c r="Q96" s="16"/>
      <c r="R96" s="16"/>
      <c r="S96" s="16"/>
      <c r="T96" s="16"/>
      <c r="U96" s="16"/>
      <c r="V96" s="16"/>
    </row>
    <row r="97" spans="1:22" x14ac:dyDescent="0.25">
      <c r="A97" s="16"/>
      <c r="B97" s="16"/>
      <c r="C97" s="16"/>
      <c r="D97" s="16"/>
      <c r="E97" s="16"/>
      <c r="F97" s="16"/>
      <c r="G97" s="16"/>
      <c r="H97" s="16"/>
      <c r="I97" s="16"/>
      <c r="J97" s="16"/>
      <c r="K97" s="16"/>
      <c r="L97" s="16"/>
      <c r="M97" s="16"/>
      <c r="N97" s="16"/>
      <c r="O97" s="16"/>
      <c r="P97" s="16"/>
      <c r="Q97" s="16"/>
      <c r="R97" s="16"/>
      <c r="S97" s="16"/>
      <c r="T97" s="16"/>
      <c r="U97" s="16"/>
      <c r="V97" s="16"/>
    </row>
    <row r="98" spans="1:22" x14ac:dyDescent="0.25">
      <c r="A98" s="16"/>
      <c r="B98" s="16"/>
      <c r="C98" s="16"/>
      <c r="D98" s="16"/>
      <c r="E98" s="16"/>
      <c r="F98" s="16"/>
      <c r="G98" s="16"/>
      <c r="H98" s="16"/>
      <c r="I98" s="16"/>
      <c r="J98" s="16"/>
      <c r="K98" s="16"/>
      <c r="L98" s="16"/>
      <c r="M98" s="16"/>
      <c r="N98" s="16"/>
      <c r="O98" s="16"/>
      <c r="P98" s="16"/>
      <c r="Q98" s="16"/>
      <c r="R98" s="16"/>
      <c r="S98" s="16"/>
      <c r="T98" s="16"/>
      <c r="U98" s="16"/>
      <c r="V98" s="16"/>
    </row>
    <row r="99" spans="1:22" x14ac:dyDescent="0.25">
      <c r="A99" s="16"/>
      <c r="B99" s="16"/>
      <c r="C99" s="16"/>
      <c r="D99" s="16"/>
      <c r="E99" s="16"/>
      <c r="F99" s="16"/>
      <c r="G99" s="16"/>
      <c r="H99" s="16"/>
      <c r="I99" s="16"/>
      <c r="J99" s="16"/>
      <c r="K99" s="16"/>
      <c r="L99" s="16"/>
      <c r="M99" s="16"/>
      <c r="N99" s="16"/>
      <c r="O99" s="16"/>
      <c r="P99" s="16"/>
      <c r="Q99" s="16"/>
      <c r="R99" s="16"/>
      <c r="S99" s="16"/>
      <c r="T99" s="16"/>
      <c r="U99" s="16"/>
      <c r="V99" s="16"/>
    </row>
    <row r="100" spans="1:22" x14ac:dyDescent="0.25">
      <c r="A100" s="16"/>
      <c r="B100" s="16"/>
      <c r="C100" s="16"/>
      <c r="D100" s="16"/>
      <c r="E100" s="16"/>
      <c r="F100" s="16"/>
      <c r="G100" s="16"/>
      <c r="H100" s="16"/>
      <c r="I100" s="16"/>
      <c r="J100" s="16"/>
      <c r="K100" s="16"/>
      <c r="L100" s="16"/>
      <c r="M100" s="16"/>
      <c r="N100" s="16"/>
      <c r="O100" s="16"/>
      <c r="P100" s="16"/>
      <c r="Q100" s="16"/>
      <c r="R100" s="16"/>
      <c r="S100" s="16"/>
      <c r="T100" s="16"/>
      <c r="U100" s="16"/>
      <c r="V100" s="16"/>
    </row>
    <row r="101" spans="1:22" x14ac:dyDescent="0.25">
      <c r="A101" s="16"/>
      <c r="B101" s="16"/>
      <c r="C101" s="16"/>
      <c r="D101" s="16"/>
      <c r="E101" s="16"/>
      <c r="F101" s="16"/>
      <c r="G101" s="16"/>
      <c r="H101" s="16"/>
      <c r="I101" s="16"/>
      <c r="J101" s="16"/>
      <c r="K101" s="16"/>
      <c r="L101" s="16"/>
      <c r="M101" s="16"/>
      <c r="N101" s="16"/>
      <c r="O101" s="16"/>
      <c r="P101" s="16"/>
      <c r="Q101" s="16"/>
      <c r="R101" s="16"/>
      <c r="S101" s="16"/>
      <c r="T101" s="16"/>
      <c r="U101" s="16"/>
      <c r="V101" s="16"/>
    </row>
    <row r="102" spans="1:22" x14ac:dyDescent="0.25">
      <c r="A102" s="16"/>
      <c r="B102" s="16"/>
      <c r="C102" s="16"/>
      <c r="D102" s="16"/>
      <c r="E102" s="16"/>
      <c r="F102" s="16"/>
      <c r="G102" s="16"/>
      <c r="H102" s="16"/>
      <c r="I102" s="16"/>
      <c r="J102" s="16"/>
      <c r="K102" s="16"/>
      <c r="L102" s="16"/>
      <c r="M102" s="16"/>
      <c r="N102" s="16"/>
      <c r="O102" s="16"/>
      <c r="P102" s="16"/>
      <c r="Q102" s="16"/>
      <c r="R102" s="16"/>
      <c r="S102" s="16"/>
      <c r="T102" s="16"/>
      <c r="U102" s="16"/>
      <c r="V102" s="16"/>
    </row>
    <row r="103" spans="1:22" x14ac:dyDescent="0.25">
      <c r="A103" s="16"/>
      <c r="B103" s="16"/>
      <c r="C103" s="16"/>
      <c r="D103" s="16"/>
      <c r="E103" s="16"/>
      <c r="F103" s="16"/>
      <c r="G103" s="16"/>
      <c r="H103" s="16"/>
      <c r="I103" s="16"/>
      <c r="J103" s="16"/>
      <c r="K103" s="16"/>
      <c r="L103" s="16"/>
      <c r="M103" s="16"/>
      <c r="N103" s="16"/>
      <c r="O103" s="16"/>
      <c r="P103" s="16"/>
      <c r="Q103" s="16"/>
      <c r="R103" s="16"/>
      <c r="S103" s="16"/>
      <c r="T103" s="16"/>
      <c r="U103" s="16"/>
      <c r="V103" s="16"/>
    </row>
    <row r="104" spans="1:22" x14ac:dyDescent="0.25">
      <c r="A104" s="16"/>
      <c r="B104" s="16"/>
      <c r="C104" s="16"/>
      <c r="D104" s="16"/>
      <c r="E104" s="16"/>
      <c r="F104" s="16"/>
      <c r="G104" s="16"/>
      <c r="H104" s="16"/>
      <c r="I104" s="16"/>
      <c r="J104" s="16"/>
      <c r="K104" s="16"/>
      <c r="L104" s="16"/>
      <c r="M104" s="16"/>
      <c r="N104" s="16"/>
      <c r="O104" s="16"/>
      <c r="P104" s="16"/>
      <c r="Q104" s="16"/>
      <c r="R104" s="16"/>
      <c r="S104" s="16"/>
      <c r="T104" s="16"/>
      <c r="U104" s="16"/>
      <c r="V104" s="16"/>
    </row>
    <row r="105" spans="1:22" x14ac:dyDescent="0.25">
      <c r="A105" s="16"/>
      <c r="B105" s="16"/>
      <c r="C105" s="16"/>
      <c r="D105" s="16"/>
      <c r="E105" s="16"/>
      <c r="F105" s="16"/>
      <c r="G105" s="16"/>
      <c r="H105" s="16"/>
      <c r="I105" s="16"/>
      <c r="J105" s="16"/>
      <c r="K105" s="16"/>
      <c r="L105" s="16"/>
      <c r="M105" s="16"/>
      <c r="N105" s="16"/>
      <c r="O105" s="16"/>
      <c r="P105" s="16"/>
      <c r="Q105" s="16"/>
      <c r="R105" s="16"/>
      <c r="S105" s="16"/>
      <c r="T105" s="16"/>
      <c r="U105" s="16"/>
      <c r="V105" s="16"/>
    </row>
    <row r="106" spans="1:22" x14ac:dyDescent="0.25">
      <c r="A106" s="16"/>
      <c r="B106" s="16"/>
      <c r="C106" s="16"/>
      <c r="D106" s="16"/>
      <c r="E106" s="16"/>
      <c r="F106" s="16"/>
      <c r="G106" s="16"/>
      <c r="H106" s="16"/>
      <c r="I106" s="16"/>
      <c r="J106" s="16"/>
      <c r="K106" s="16"/>
      <c r="L106" s="16"/>
      <c r="M106" s="16"/>
      <c r="N106" s="16"/>
      <c r="O106" s="16"/>
      <c r="P106" s="16"/>
      <c r="Q106" s="16"/>
      <c r="R106" s="16"/>
      <c r="S106" s="16"/>
      <c r="T106" s="16"/>
      <c r="U106" s="16"/>
      <c r="V106" s="16"/>
    </row>
    <row r="107" spans="1:22" hidden="1" x14ac:dyDescent="0.25">
      <c r="A107" s="16"/>
      <c r="B107" s="16"/>
      <c r="C107" s="16"/>
      <c r="D107" s="16"/>
      <c r="E107" s="16"/>
      <c r="F107" s="16"/>
      <c r="G107" s="16"/>
      <c r="H107" s="16"/>
      <c r="I107" s="16"/>
      <c r="J107" s="16"/>
      <c r="K107" s="16"/>
      <c r="L107" s="16"/>
      <c r="M107" s="16"/>
      <c r="N107" s="16"/>
      <c r="O107" s="16"/>
      <c r="P107" s="16"/>
      <c r="Q107" s="16"/>
      <c r="R107" s="16"/>
      <c r="S107" s="16"/>
      <c r="T107" s="16"/>
      <c r="U107" s="16"/>
      <c r="V107" s="16"/>
    </row>
    <row r="108" spans="1:22" hidden="1" x14ac:dyDescent="0.25">
      <c r="A108" s="16"/>
      <c r="B108" s="16"/>
      <c r="C108" s="16"/>
      <c r="D108" s="16"/>
      <c r="E108" s="16"/>
      <c r="F108" s="16"/>
      <c r="G108" s="16"/>
      <c r="H108" s="16"/>
      <c r="I108" s="16"/>
      <c r="J108" s="16"/>
      <c r="K108" s="16"/>
      <c r="L108" s="16"/>
      <c r="M108" s="16"/>
      <c r="N108" s="16"/>
      <c r="O108" s="16"/>
      <c r="P108" s="16"/>
      <c r="Q108" s="16"/>
      <c r="R108" s="16"/>
      <c r="S108" s="16"/>
      <c r="T108" s="16"/>
      <c r="U108" s="16"/>
      <c r="V108" s="16"/>
    </row>
    <row r="109" spans="1:22" hidden="1" x14ac:dyDescent="0.25">
      <c r="A109" s="16"/>
      <c r="B109" s="16"/>
      <c r="C109" s="16"/>
      <c r="D109" s="16"/>
      <c r="E109" s="16"/>
      <c r="F109" s="16"/>
      <c r="G109" s="16"/>
      <c r="H109" s="16"/>
      <c r="I109" s="16"/>
      <c r="J109" s="16"/>
      <c r="K109" s="16"/>
      <c r="L109" s="16"/>
      <c r="M109" s="16"/>
      <c r="N109" s="16"/>
      <c r="O109" s="16"/>
      <c r="P109" s="16"/>
      <c r="Q109" s="16"/>
      <c r="R109" s="16"/>
      <c r="S109" s="16"/>
      <c r="T109" s="16"/>
      <c r="U109" s="16"/>
      <c r="V109" s="16"/>
    </row>
    <row r="110" spans="1:22" x14ac:dyDescent="0.25">
      <c r="A110" s="16"/>
      <c r="B110" s="16"/>
      <c r="C110" s="16"/>
      <c r="D110" s="16"/>
      <c r="E110" s="16"/>
      <c r="F110" s="16"/>
      <c r="G110" s="16"/>
      <c r="H110" s="16"/>
      <c r="I110" s="16"/>
      <c r="J110" s="16"/>
      <c r="K110" s="16"/>
      <c r="L110" s="16"/>
      <c r="M110" s="16"/>
      <c r="N110" s="16"/>
      <c r="O110" s="16"/>
      <c r="P110" s="16"/>
      <c r="Q110" s="16"/>
      <c r="R110" s="16"/>
      <c r="S110" s="16"/>
      <c r="T110" s="16"/>
      <c r="U110" s="16"/>
      <c r="V110" s="16"/>
    </row>
    <row r="111" spans="1:22" x14ac:dyDescent="0.25">
      <c r="A111" s="16"/>
      <c r="B111" s="16"/>
      <c r="C111" s="16"/>
      <c r="D111" s="16"/>
      <c r="E111" s="16"/>
      <c r="F111" s="16"/>
      <c r="G111" s="16"/>
      <c r="H111" s="16"/>
      <c r="I111" s="16"/>
      <c r="J111" s="16"/>
      <c r="K111" s="16"/>
      <c r="L111" s="16"/>
      <c r="M111" s="16"/>
      <c r="N111" s="16"/>
      <c r="O111" s="16"/>
      <c r="P111" s="16"/>
      <c r="Q111" s="16"/>
      <c r="R111" s="16"/>
      <c r="S111" s="16"/>
      <c r="T111" s="16"/>
      <c r="U111" s="16"/>
      <c r="V111" s="16"/>
    </row>
    <row r="112" spans="1:22" hidden="1" x14ac:dyDescent="0.25">
      <c r="A112" s="16"/>
      <c r="B112" s="16"/>
      <c r="C112" s="16"/>
      <c r="D112" s="16"/>
      <c r="E112" s="16"/>
      <c r="F112" s="16"/>
      <c r="G112" s="16"/>
      <c r="H112" s="16"/>
      <c r="I112" s="16"/>
      <c r="J112" s="16"/>
      <c r="K112" s="16"/>
      <c r="L112" s="16"/>
      <c r="M112" s="16"/>
      <c r="N112" s="16"/>
      <c r="O112" s="16"/>
      <c r="P112" s="16"/>
      <c r="Q112" s="16"/>
      <c r="R112" s="16"/>
      <c r="S112" s="16"/>
      <c r="T112" s="16"/>
      <c r="U112" s="16"/>
      <c r="V112" s="16"/>
    </row>
    <row r="113" spans="1:22" hidden="1" x14ac:dyDescent="0.25">
      <c r="A113" s="16"/>
      <c r="B113" s="16"/>
      <c r="C113" s="16"/>
      <c r="D113" s="16"/>
      <c r="E113" s="16"/>
      <c r="F113" s="16"/>
      <c r="G113" s="16"/>
      <c r="H113" s="16"/>
      <c r="I113" s="16"/>
      <c r="J113" s="16"/>
      <c r="K113" s="16"/>
      <c r="L113" s="16"/>
      <c r="M113" s="16"/>
      <c r="N113" s="16"/>
      <c r="O113" s="16"/>
      <c r="P113" s="16"/>
      <c r="Q113" s="16"/>
      <c r="R113" s="16"/>
      <c r="S113" s="16"/>
      <c r="T113" s="16"/>
      <c r="U113" s="16"/>
      <c r="V113" s="16"/>
    </row>
    <row r="114" spans="1:22" hidden="1" x14ac:dyDescent="0.25">
      <c r="A114" s="16"/>
      <c r="B114" s="16"/>
      <c r="C114" s="16"/>
      <c r="D114" s="16"/>
      <c r="E114" s="16"/>
      <c r="F114" s="16"/>
      <c r="G114" s="16"/>
      <c r="H114" s="16"/>
      <c r="I114" s="16"/>
      <c r="J114" s="16"/>
      <c r="K114" s="16"/>
      <c r="L114" s="16"/>
      <c r="M114" s="16"/>
      <c r="N114" s="16"/>
      <c r="O114" s="16"/>
      <c r="P114" s="16"/>
      <c r="Q114" s="16"/>
      <c r="R114" s="16"/>
      <c r="S114" s="16"/>
      <c r="T114" s="16"/>
      <c r="U114" s="16"/>
      <c r="V114" s="16"/>
    </row>
    <row r="115" spans="1:22" hidden="1" x14ac:dyDescent="0.25">
      <c r="A115" s="16"/>
      <c r="B115" s="16"/>
      <c r="C115" s="16"/>
      <c r="D115" s="16"/>
      <c r="E115" s="16"/>
      <c r="F115" s="16"/>
      <c r="G115" s="16"/>
      <c r="H115" s="16"/>
      <c r="I115" s="16"/>
      <c r="J115" s="16"/>
      <c r="K115" s="16"/>
      <c r="L115" s="16"/>
      <c r="M115" s="16"/>
      <c r="N115" s="16"/>
      <c r="O115" s="16"/>
      <c r="P115" s="16"/>
      <c r="Q115" s="16"/>
      <c r="R115" s="16"/>
      <c r="S115" s="16"/>
      <c r="T115" s="16"/>
      <c r="U115" s="16"/>
      <c r="V115" s="16"/>
    </row>
    <row r="116" spans="1:22" hidden="1" x14ac:dyDescent="0.25">
      <c r="A116" s="16"/>
      <c r="B116" s="16"/>
      <c r="C116" s="16"/>
      <c r="D116" s="16"/>
      <c r="E116" s="16"/>
      <c r="F116" s="16"/>
      <c r="G116" s="16"/>
      <c r="H116" s="16"/>
      <c r="I116" s="16"/>
      <c r="J116" s="16"/>
      <c r="K116" s="16"/>
      <c r="L116" s="16"/>
      <c r="M116" s="16"/>
      <c r="N116" s="16"/>
      <c r="O116" s="16"/>
      <c r="P116" s="16"/>
      <c r="Q116" s="16"/>
      <c r="R116" s="16"/>
      <c r="S116" s="16"/>
      <c r="T116" s="16"/>
      <c r="U116" s="16"/>
      <c r="V116" s="16"/>
    </row>
    <row r="117" spans="1:22" hidden="1" x14ac:dyDescent="0.25">
      <c r="A117" s="16"/>
      <c r="B117" s="16"/>
      <c r="C117" s="16"/>
      <c r="D117" s="16"/>
      <c r="E117" s="16"/>
      <c r="F117" s="16"/>
      <c r="G117" s="16"/>
      <c r="H117" s="16"/>
      <c r="I117" s="16"/>
      <c r="J117" s="16"/>
      <c r="K117" s="16"/>
      <c r="L117" s="16"/>
      <c r="M117" s="16"/>
      <c r="N117" s="16"/>
      <c r="O117" s="16"/>
      <c r="P117" s="16"/>
      <c r="Q117" s="16"/>
      <c r="R117" s="16"/>
      <c r="S117" s="16"/>
      <c r="T117" s="16"/>
      <c r="U117" s="16"/>
      <c r="V117" s="16"/>
    </row>
    <row r="118" spans="1:22" hidden="1" x14ac:dyDescent="0.25">
      <c r="A118" s="16"/>
      <c r="B118" s="16"/>
      <c r="C118" s="16"/>
      <c r="D118" s="16"/>
      <c r="E118" s="16"/>
      <c r="F118" s="16"/>
      <c r="G118" s="16"/>
      <c r="H118" s="16"/>
      <c r="I118" s="16"/>
      <c r="J118" s="16"/>
      <c r="K118" s="16"/>
      <c r="L118" s="16"/>
      <c r="M118" s="16"/>
      <c r="N118" s="16"/>
      <c r="O118" s="16"/>
      <c r="P118" s="16"/>
      <c r="Q118" s="16"/>
      <c r="R118" s="16"/>
      <c r="S118" s="16"/>
      <c r="T118" s="16"/>
      <c r="U118" s="16"/>
      <c r="V118" s="16"/>
    </row>
    <row r="119" spans="1:22" hidden="1" x14ac:dyDescent="0.25">
      <c r="A119" s="16"/>
      <c r="B119" s="16"/>
      <c r="C119" s="16"/>
      <c r="D119" s="16"/>
      <c r="E119" s="16"/>
      <c r="F119" s="16"/>
      <c r="G119" s="16"/>
      <c r="H119" s="16"/>
      <c r="I119" s="16"/>
      <c r="J119" s="16"/>
      <c r="K119" s="16"/>
      <c r="L119" s="16"/>
      <c r="M119" s="16"/>
      <c r="N119" s="16"/>
      <c r="O119" s="16"/>
      <c r="P119" s="16"/>
      <c r="Q119" s="16"/>
      <c r="R119" s="16"/>
      <c r="S119" s="16"/>
      <c r="T119" s="16"/>
      <c r="U119" s="16"/>
      <c r="V119" s="16"/>
    </row>
    <row r="120" spans="1:22" hidden="1" x14ac:dyDescent="0.25">
      <c r="A120" s="16"/>
      <c r="B120" s="16"/>
      <c r="C120" s="16"/>
      <c r="D120" s="16"/>
      <c r="E120" s="16"/>
      <c r="F120" s="16"/>
      <c r="G120" s="16"/>
      <c r="H120" s="16"/>
      <c r="I120" s="16"/>
      <c r="J120" s="16"/>
      <c r="K120" s="16"/>
      <c r="L120" s="16"/>
      <c r="M120" s="16"/>
      <c r="N120" s="16"/>
      <c r="O120" s="16"/>
      <c r="P120" s="16"/>
      <c r="Q120" s="16"/>
      <c r="R120" s="16"/>
      <c r="S120" s="16"/>
      <c r="T120" s="16"/>
      <c r="U120" s="16"/>
      <c r="V120" s="16"/>
    </row>
    <row r="121" spans="1:22" x14ac:dyDescent="0.25">
      <c r="A121" s="16"/>
      <c r="B121" s="16"/>
      <c r="C121" s="16"/>
      <c r="D121" s="16"/>
      <c r="E121" s="16"/>
      <c r="F121" s="16"/>
      <c r="G121" s="16"/>
      <c r="H121" s="16"/>
      <c r="I121" s="16"/>
      <c r="J121" s="16"/>
      <c r="K121" s="16"/>
      <c r="L121" s="16"/>
      <c r="M121" s="16"/>
      <c r="N121" s="16"/>
      <c r="O121" s="16"/>
      <c r="P121" s="16"/>
      <c r="Q121" s="16"/>
      <c r="R121" s="16"/>
      <c r="S121" s="16"/>
      <c r="T121" s="16"/>
      <c r="U121" s="16"/>
      <c r="V121" s="16"/>
    </row>
    <row r="122" spans="1:22" x14ac:dyDescent="0.25">
      <c r="A122" s="16"/>
      <c r="B122" s="16"/>
      <c r="C122" s="16"/>
      <c r="D122" s="16"/>
      <c r="E122" s="16"/>
      <c r="F122" s="16"/>
      <c r="G122" s="16"/>
      <c r="H122" s="16"/>
      <c r="I122" s="16"/>
      <c r="J122" s="16"/>
      <c r="K122" s="16"/>
      <c r="L122" s="16"/>
      <c r="M122" s="16"/>
      <c r="N122" s="16"/>
      <c r="O122" s="16"/>
      <c r="P122" s="16"/>
      <c r="Q122" s="16"/>
      <c r="R122" s="16"/>
      <c r="S122" s="16"/>
      <c r="T122" s="16"/>
      <c r="U122" s="16"/>
      <c r="V122" s="16"/>
    </row>
    <row r="123" spans="1:22" x14ac:dyDescent="0.25">
      <c r="A123" s="16"/>
      <c r="B123" s="16"/>
      <c r="C123" s="16"/>
      <c r="D123" s="16"/>
      <c r="E123" s="16"/>
      <c r="F123" s="16"/>
      <c r="G123" s="16"/>
      <c r="H123" s="16"/>
      <c r="I123" s="16"/>
      <c r="J123" s="16"/>
      <c r="K123" s="16"/>
      <c r="L123" s="16"/>
      <c r="M123" s="16"/>
      <c r="N123" s="16"/>
      <c r="O123" s="16"/>
      <c r="P123" s="16"/>
      <c r="Q123" s="16"/>
      <c r="R123" s="16"/>
      <c r="S123" s="16"/>
      <c r="T123" s="16"/>
      <c r="U123" s="16"/>
      <c r="V123" s="16"/>
    </row>
    <row r="124" spans="1:22" x14ac:dyDescent="0.25">
      <c r="A124" s="16"/>
      <c r="B124" s="16"/>
      <c r="C124" s="16"/>
      <c r="D124" s="16"/>
      <c r="E124" s="16"/>
      <c r="F124" s="16"/>
      <c r="G124" s="16"/>
      <c r="H124" s="16"/>
      <c r="I124" s="16"/>
      <c r="J124" s="16"/>
      <c r="K124" s="16"/>
      <c r="L124" s="16"/>
      <c r="M124" s="16"/>
      <c r="N124" s="16"/>
      <c r="O124" s="16"/>
      <c r="P124" s="16"/>
      <c r="Q124" s="16"/>
      <c r="R124" s="16"/>
      <c r="S124" s="16"/>
      <c r="T124" s="16"/>
      <c r="U124" s="16"/>
      <c r="V124" s="16"/>
    </row>
    <row r="125" spans="1:22" x14ac:dyDescent="0.25">
      <c r="A125" s="16"/>
      <c r="B125" s="16"/>
      <c r="C125" s="16"/>
      <c r="D125" s="16"/>
      <c r="E125" s="16"/>
      <c r="F125" s="16"/>
      <c r="G125" s="16"/>
      <c r="H125" s="16"/>
      <c r="I125" s="16"/>
      <c r="J125" s="16"/>
      <c r="K125" s="16"/>
      <c r="L125" s="16"/>
      <c r="M125" s="16"/>
      <c r="N125" s="16"/>
      <c r="O125" s="16"/>
      <c r="P125" s="16"/>
      <c r="Q125" s="16"/>
      <c r="R125" s="16"/>
      <c r="S125" s="16"/>
      <c r="T125" s="16"/>
      <c r="U125" s="16"/>
      <c r="V125" s="16"/>
    </row>
    <row r="126" spans="1:22" x14ac:dyDescent="0.25">
      <c r="A126" s="16"/>
      <c r="B126" s="16"/>
      <c r="C126" s="16"/>
      <c r="D126" s="16"/>
      <c r="E126" s="16"/>
      <c r="F126" s="16"/>
      <c r="G126" s="16"/>
      <c r="H126" s="16"/>
      <c r="I126" s="16"/>
      <c r="J126" s="16"/>
      <c r="K126" s="16"/>
      <c r="L126" s="16"/>
      <c r="M126" s="16"/>
      <c r="N126" s="16"/>
      <c r="O126" s="16"/>
      <c r="P126" s="16"/>
      <c r="Q126" s="16"/>
      <c r="R126" s="16"/>
      <c r="S126" s="16"/>
      <c r="T126" s="16"/>
      <c r="U126" s="16"/>
      <c r="V126" s="16"/>
    </row>
    <row r="127" spans="1:22" x14ac:dyDescent="0.25">
      <c r="A127" s="16"/>
      <c r="B127" s="16"/>
      <c r="C127" s="16"/>
      <c r="D127" s="16"/>
      <c r="E127" s="16"/>
      <c r="F127" s="16"/>
      <c r="G127" s="16"/>
      <c r="H127" s="16"/>
      <c r="I127" s="16"/>
      <c r="J127" s="16"/>
      <c r="K127" s="16"/>
      <c r="L127" s="16"/>
      <c r="M127" s="16"/>
      <c r="N127" s="16"/>
      <c r="O127" s="16"/>
      <c r="P127" s="16"/>
      <c r="Q127" s="16"/>
      <c r="R127" s="16"/>
      <c r="S127" s="16"/>
      <c r="T127" s="16"/>
      <c r="U127" s="16"/>
      <c r="V127" s="16"/>
    </row>
    <row r="128" spans="1:22" x14ac:dyDescent="0.25">
      <c r="A128" s="16"/>
      <c r="B128" s="16"/>
      <c r="C128" s="16"/>
      <c r="D128" s="16"/>
      <c r="E128" s="16"/>
      <c r="F128" s="16"/>
      <c r="G128" s="16"/>
      <c r="H128" s="16"/>
      <c r="I128" s="16"/>
      <c r="J128" s="16"/>
      <c r="K128" s="16"/>
      <c r="L128" s="16"/>
      <c r="M128" s="16"/>
      <c r="N128" s="16"/>
      <c r="O128" s="16"/>
      <c r="P128" s="16"/>
      <c r="Q128" s="16"/>
      <c r="R128" s="16"/>
      <c r="S128" s="16"/>
      <c r="T128" s="16"/>
      <c r="U128" s="16"/>
      <c r="V128" s="16"/>
    </row>
    <row r="129" spans="1:22" hidden="1" x14ac:dyDescent="0.25">
      <c r="A129" s="16"/>
      <c r="B129" s="16"/>
      <c r="C129" s="16"/>
      <c r="D129" s="16"/>
      <c r="E129" s="16"/>
      <c r="F129" s="16"/>
      <c r="G129" s="16"/>
      <c r="H129" s="16"/>
      <c r="I129" s="16"/>
      <c r="J129" s="16"/>
      <c r="K129" s="16"/>
      <c r="L129" s="16"/>
      <c r="M129" s="16"/>
      <c r="N129" s="16"/>
      <c r="O129" s="16"/>
      <c r="P129" s="16"/>
      <c r="Q129" s="16"/>
      <c r="R129" s="16"/>
      <c r="S129" s="16"/>
      <c r="T129" s="16"/>
      <c r="U129" s="16"/>
      <c r="V129" s="16"/>
    </row>
    <row r="130" spans="1:22" hidden="1" x14ac:dyDescent="0.25">
      <c r="A130" s="16"/>
      <c r="B130" s="16"/>
      <c r="C130" s="16"/>
      <c r="D130" s="16"/>
      <c r="E130" s="16"/>
      <c r="F130" s="16"/>
      <c r="G130" s="16"/>
      <c r="H130" s="16"/>
      <c r="I130" s="16"/>
      <c r="J130" s="16"/>
      <c r="K130" s="16"/>
      <c r="L130" s="16"/>
      <c r="M130" s="16"/>
      <c r="N130" s="16"/>
      <c r="O130" s="16"/>
      <c r="P130" s="16"/>
      <c r="Q130" s="16"/>
      <c r="R130" s="16"/>
      <c r="S130" s="16"/>
      <c r="T130" s="16"/>
      <c r="U130" s="16"/>
      <c r="V130" s="16"/>
    </row>
    <row r="131" spans="1:22" hidden="1" x14ac:dyDescent="0.25">
      <c r="A131" s="16"/>
      <c r="B131" s="16"/>
      <c r="C131" s="16"/>
      <c r="D131" s="16"/>
      <c r="E131" s="16"/>
      <c r="F131" s="16"/>
      <c r="G131" s="16"/>
      <c r="H131" s="16"/>
      <c r="I131" s="16"/>
      <c r="J131" s="16"/>
      <c r="K131" s="16"/>
      <c r="L131" s="16"/>
      <c r="M131" s="16"/>
      <c r="N131" s="16"/>
      <c r="O131" s="16"/>
      <c r="P131" s="16"/>
      <c r="Q131" s="16"/>
      <c r="R131" s="16"/>
      <c r="S131" s="16"/>
      <c r="T131" s="16"/>
      <c r="U131" s="16"/>
      <c r="V131" s="16"/>
    </row>
    <row r="132" spans="1:22" x14ac:dyDescent="0.25">
      <c r="A132" s="16"/>
      <c r="B132" s="16"/>
      <c r="C132" s="16"/>
      <c r="D132" s="16"/>
      <c r="E132" s="16"/>
      <c r="F132" s="16"/>
      <c r="G132" s="16"/>
      <c r="H132" s="16"/>
      <c r="I132" s="16"/>
      <c r="J132" s="16"/>
      <c r="K132" s="16"/>
      <c r="L132" s="16"/>
      <c r="M132" s="16"/>
      <c r="N132" s="16"/>
      <c r="O132" s="16"/>
      <c r="P132" s="16"/>
      <c r="Q132" s="16"/>
      <c r="R132" s="16"/>
      <c r="S132" s="16"/>
      <c r="T132" s="16"/>
      <c r="U132" s="16"/>
      <c r="V132" s="16"/>
    </row>
    <row r="133" spans="1:22" x14ac:dyDescent="0.25">
      <c r="A133" s="16"/>
      <c r="B133" s="16"/>
      <c r="C133" s="16"/>
      <c r="D133" s="16"/>
      <c r="E133" s="16"/>
      <c r="F133" s="16"/>
      <c r="G133" s="16"/>
      <c r="H133" s="16"/>
      <c r="I133" s="16"/>
      <c r="J133" s="16"/>
      <c r="K133" s="16"/>
      <c r="L133" s="16"/>
      <c r="M133" s="16"/>
      <c r="N133" s="16"/>
      <c r="O133" s="16"/>
      <c r="P133" s="16"/>
      <c r="Q133" s="16"/>
      <c r="R133" s="16"/>
      <c r="S133" s="16"/>
      <c r="T133" s="16"/>
      <c r="U133" s="16"/>
      <c r="V133" s="16"/>
    </row>
    <row r="134" spans="1:22" x14ac:dyDescent="0.25">
      <c r="A134" s="16"/>
      <c r="B134" s="16"/>
      <c r="C134" s="16"/>
      <c r="D134" s="16"/>
      <c r="E134" s="16"/>
      <c r="F134" s="16"/>
      <c r="G134" s="16"/>
      <c r="H134" s="16"/>
      <c r="I134" s="16"/>
      <c r="J134" s="16"/>
      <c r="K134" s="16"/>
      <c r="L134" s="16"/>
      <c r="M134" s="16"/>
      <c r="N134" s="16"/>
      <c r="O134" s="16"/>
      <c r="P134" s="16"/>
      <c r="Q134" s="16"/>
      <c r="R134" s="16"/>
      <c r="S134" s="16"/>
      <c r="T134" s="16"/>
      <c r="U134" s="16"/>
      <c r="V134" s="16"/>
    </row>
    <row r="135" spans="1:22" x14ac:dyDescent="0.25">
      <c r="A135" s="16"/>
      <c r="B135" s="16"/>
      <c r="C135" s="16"/>
      <c r="D135" s="16"/>
      <c r="E135" s="16"/>
      <c r="F135" s="16"/>
      <c r="G135" s="16"/>
      <c r="H135" s="16"/>
      <c r="I135" s="16"/>
      <c r="J135" s="16"/>
      <c r="K135" s="16"/>
      <c r="L135" s="16"/>
      <c r="M135" s="16"/>
      <c r="N135" s="16"/>
      <c r="O135" s="16"/>
      <c r="P135" s="16"/>
      <c r="Q135" s="16"/>
      <c r="R135" s="16"/>
      <c r="S135" s="16"/>
      <c r="T135" s="16"/>
      <c r="U135" s="16"/>
      <c r="V135" s="16"/>
    </row>
    <row r="136" spans="1:22" x14ac:dyDescent="0.25">
      <c r="A136" s="16"/>
      <c r="B136" s="16"/>
      <c r="C136" s="16"/>
      <c r="D136" s="16"/>
      <c r="E136" s="16"/>
      <c r="F136" s="16"/>
      <c r="G136" s="16"/>
      <c r="H136" s="16"/>
      <c r="I136" s="16"/>
      <c r="J136" s="16"/>
      <c r="K136" s="16"/>
      <c r="L136" s="16"/>
      <c r="M136" s="16"/>
      <c r="N136" s="16"/>
      <c r="O136" s="16"/>
      <c r="P136" s="16"/>
      <c r="Q136" s="16"/>
      <c r="R136" s="16"/>
      <c r="S136" s="16"/>
      <c r="T136" s="16"/>
      <c r="U136" s="16"/>
      <c r="V136" s="16"/>
    </row>
    <row r="137" spans="1:22" x14ac:dyDescent="0.25">
      <c r="A137" s="16"/>
      <c r="B137" s="16"/>
      <c r="C137" s="16"/>
      <c r="D137" s="16"/>
      <c r="E137" s="16"/>
      <c r="F137" s="16"/>
      <c r="G137" s="16"/>
      <c r="H137" s="16"/>
      <c r="I137" s="16"/>
      <c r="J137" s="16"/>
      <c r="K137" s="16"/>
      <c r="L137" s="16"/>
      <c r="M137" s="16"/>
      <c r="N137" s="16"/>
      <c r="O137" s="16"/>
      <c r="P137" s="16"/>
      <c r="Q137" s="16"/>
      <c r="R137" s="16"/>
      <c r="S137" s="16"/>
      <c r="T137" s="16"/>
      <c r="U137" s="16"/>
      <c r="V137" s="16"/>
    </row>
    <row r="138" spans="1:22" x14ac:dyDescent="0.25">
      <c r="A138" s="16"/>
      <c r="B138" s="16"/>
      <c r="C138" s="16"/>
      <c r="D138" s="16"/>
      <c r="E138" s="16"/>
      <c r="F138" s="16"/>
      <c r="G138" s="16"/>
      <c r="H138" s="16"/>
      <c r="I138" s="16"/>
      <c r="J138" s="16"/>
      <c r="K138" s="16"/>
      <c r="L138" s="16"/>
      <c r="M138" s="16"/>
      <c r="N138" s="16"/>
      <c r="O138" s="16"/>
      <c r="P138" s="16"/>
      <c r="Q138" s="16"/>
      <c r="R138" s="16"/>
      <c r="S138" s="16"/>
      <c r="T138" s="16"/>
      <c r="U138" s="16"/>
      <c r="V138" s="16"/>
    </row>
    <row r="139" spans="1:22" x14ac:dyDescent="0.25">
      <c r="A139" s="16"/>
      <c r="B139" s="16"/>
      <c r="C139" s="16"/>
      <c r="D139" s="16"/>
      <c r="E139" s="16"/>
      <c r="F139" s="16"/>
      <c r="G139" s="16"/>
      <c r="H139" s="16"/>
      <c r="I139" s="16"/>
      <c r="J139" s="16"/>
      <c r="K139" s="16"/>
      <c r="L139" s="16"/>
      <c r="M139" s="16"/>
      <c r="N139" s="16"/>
      <c r="O139" s="16"/>
      <c r="P139" s="16"/>
      <c r="Q139" s="16"/>
      <c r="R139" s="16"/>
      <c r="S139" s="16"/>
      <c r="T139" s="16"/>
      <c r="U139" s="16"/>
      <c r="V139" s="16"/>
    </row>
    <row r="140" spans="1:22" x14ac:dyDescent="0.25">
      <c r="A140" s="16"/>
      <c r="B140" s="16"/>
      <c r="C140" s="16"/>
      <c r="D140" s="16"/>
      <c r="E140" s="16"/>
      <c r="F140" s="16"/>
      <c r="G140" s="16"/>
      <c r="H140" s="16"/>
      <c r="I140" s="16"/>
      <c r="J140" s="16"/>
      <c r="K140" s="16"/>
      <c r="L140" s="16"/>
      <c r="M140" s="16"/>
      <c r="N140" s="16"/>
      <c r="O140" s="16"/>
      <c r="P140" s="16"/>
      <c r="Q140" s="16"/>
      <c r="R140" s="16"/>
      <c r="S140" s="16"/>
      <c r="T140" s="16"/>
      <c r="U140" s="16"/>
      <c r="V140" s="16"/>
    </row>
    <row r="141" spans="1:22" x14ac:dyDescent="0.25">
      <c r="A141" s="16"/>
      <c r="B141" s="16"/>
      <c r="C141" s="16"/>
      <c r="D141" s="16"/>
      <c r="E141" s="16"/>
      <c r="F141" s="16"/>
      <c r="G141" s="16"/>
      <c r="H141" s="16"/>
      <c r="I141" s="16"/>
      <c r="J141" s="16"/>
      <c r="K141" s="16"/>
      <c r="L141" s="16"/>
      <c r="M141" s="16"/>
      <c r="N141" s="16"/>
      <c r="O141" s="16"/>
      <c r="P141" s="16"/>
      <c r="Q141" s="16"/>
      <c r="R141" s="16"/>
      <c r="S141" s="16"/>
      <c r="T141" s="16"/>
      <c r="U141" s="16"/>
      <c r="V141" s="16"/>
    </row>
    <row r="142" spans="1:22" x14ac:dyDescent="0.25">
      <c r="A142" s="16"/>
      <c r="B142" s="16"/>
      <c r="C142" s="16"/>
      <c r="D142" s="16"/>
      <c r="E142" s="16"/>
      <c r="F142" s="16"/>
      <c r="G142" s="16"/>
      <c r="H142" s="16"/>
      <c r="I142" s="16"/>
      <c r="J142" s="16"/>
      <c r="K142" s="16"/>
      <c r="L142" s="16"/>
      <c r="M142" s="16"/>
      <c r="N142" s="16"/>
      <c r="O142" s="16"/>
      <c r="P142" s="16"/>
      <c r="Q142" s="16"/>
      <c r="R142" s="16"/>
      <c r="S142" s="16"/>
      <c r="T142" s="16"/>
      <c r="U142" s="16"/>
      <c r="V142" s="16"/>
    </row>
    <row r="143" spans="1:22" x14ac:dyDescent="0.25">
      <c r="A143" s="16"/>
      <c r="B143" s="16"/>
      <c r="C143" s="16"/>
      <c r="D143" s="16"/>
      <c r="E143" s="16"/>
      <c r="F143" s="16"/>
      <c r="G143" s="16"/>
      <c r="H143" s="16"/>
      <c r="I143" s="16"/>
      <c r="J143" s="16"/>
      <c r="K143" s="16"/>
      <c r="L143" s="16"/>
      <c r="M143" s="16"/>
      <c r="N143" s="16"/>
      <c r="O143" s="16"/>
      <c r="P143" s="16"/>
      <c r="Q143" s="16"/>
      <c r="R143" s="16"/>
      <c r="S143" s="16"/>
      <c r="T143" s="16"/>
      <c r="U143" s="16"/>
      <c r="V143" s="16"/>
    </row>
    <row r="144" spans="1:22" x14ac:dyDescent="0.25">
      <c r="A144" s="16"/>
      <c r="B144" s="16"/>
      <c r="C144" s="16"/>
      <c r="D144" s="16"/>
      <c r="E144" s="16"/>
      <c r="F144" s="16"/>
      <c r="G144" s="16"/>
      <c r="H144" s="16"/>
      <c r="I144" s="16"/>
      <c r="J144" s="16"/>
      <c r="K144" s="16"/>
      <c r="L144" s="16"/>
      <c r="M144" s="16"/>
      <c r="N144" s="16"/>
      <c r="O144" s="16"/>
      <c r="P144" s="16"/>
      <c r="Q144" s="16"/>
      <c r="R144" s="16"/>
      <c r="S144" s="16"/>
      <c r="T144" s="16"/>
      <c r="U144" s="16"/>
      <c r="V144" s="16"/>
    </row>
    <row r="145" spans="1:22" x14ac:dyDescent="0.25">
      <c r="A145" s="16"/>
      <c r="B145" s="16"/>
      <c r="C145" s="16"/>
      <c r="D145" s="16"/>
      <c r="E145" s="16"/>
      <c r="F145" s="16"/>
      <c r="G145" s="16"/>
      <c r="H145" s="16"/>
      <c r="I145" s="16"/>
      <c r="J145" s="16"/>
      <c r="K145" s="16"/>
      <c r="L145" s="16"/>
      <c r="M145" s="16"/>
      <c r="N145" s="16"/>
      <c r="O145" s="16"/>
      <c r="P145" s="16"/>
      <c r="Q145" s="16"/>
      <c r="R145" s="16"/>
      <c r="S145" s="16"/>
      <c r="T145" s="16"/>
      <c r="U145" s="16"/>
      <c r="V145" s="16"/>
    </row>
    <row r="146" spans="1:22" x14ac:dyDescent="0.25">
      <c r="A146" s="16"/>
      <c r="B146" s="16"/>
      <c r="C146" s="16"/>
      <c r="D146" s="16"/>
      <c r="E146" s="16"/>
      <c r="F146" s="16"/>
      <c r="G146" s="16"/>
      <c r="H146" s="16"/>
      <c r="I146" s="16"/>
      <c r="J146" s="16"/>
      <c r="K146" s="16"/>
      <c r="L146" s="16"/>
      <c r="M146" s="16"/>
      <c r="N146" s="16"/>
      <c r="O146" s="16"/>
      <c r="P146" s="16"/>
      <c r="Q146" s="16"/>
      <c r="R146" s="16"/>
      <c r="S146" s="16"/>
      <c r="T146" s="16"/>
      <c r="U146" s="16"/>
      <c r="V146" s="16"/>
    </row>
    <row r="147" spans="1:22" x14ac:dyDescent="0.25">
      <c r="A147" s="16"/>
      <c r="B147" s="16"/>
      <c r="C147" s="16"/>
      <c r="D147" s="16"/>
      <c r="E147" s="16"/>
      <c r="F147" s="16"/>
      <c r="G147" s="16"/>
      <c r="H147" s="16"/>
      <c r="I147" s="16"/>
      <c r="J147" s="16"/>
      <c r="K147" s="16"/>
      <c r="L147" s="16"/>
      <c r="M147" s="16"/>
      <c r="N147" s="16"/>
      <c r="O147" s="16"/>
      <c r="P147" s="16"/>
      <c r="Q147" s="16"/>
      <c r="R147" s="16"/>
      <c r="S147" s="16"/>
      <c r="T147" s="16"/>
      <c r="U147" s="16"/>
      <c r="V147" s="16"/>
    </row>
    <row r="148" spans="1:22" x14ac:dyDescent="0.25">
      <c r="A148" s="16"/>
      <c r="B148" s="16"/>
      <c r="C148" s="16"/>
      <c r="D148" s="16"/>
      <c r="E148" s="16"/>
      <c r="F148" s="16"/>
      <c r="G148" s="16"/>
      <c r="H148" s="16"/>
      <c r="I148" s="16"/>
      <c r="J148" s="16"/>
      <c r="K148" s="16"/>
      <c r="L148" s="16"/>
      <c r="M148" s="16"/>
      <c r="N148" s="16"/>
      <c r="O148" s="16"/>
      <c r="P148" s="16"/>
      <c r="Q148" s="16"/>
      <c r="R148" s="16"/>
      <c r="S148" s="16"/>
      <c r="T148" s="16"/>
      <c r="U148" s="16"/>
      <c r="V148" s="16"/>
    </row>
    <row r="149" spans="1:22" x14ac:dyDescent="0.25">
      <c r="A149" s="16"/>
      <c r="B149" s="16"/>
      <c r="C149" s="16"/>
      <c r="D149" s="16"/>
      <c r="E149" s="16"/>
      <c r="F149" s="16"/>
      <c r="G149" s="16"/>
      <c r="H149" s="16"/>
      <c r="I149" s="16"/>
      <c r="J149" s="16"/>
      <c r="K149" s="16"/>
      <c r="L149" s="16"/>
      <c r="M149" s="16"/>
      <c r="N149" s="16"/>
      <c r="O149" s="16"/>
      <c r="P149" s="16"/>
      <c r="Q149" s="16"/>
      <c r="R149" s="16"/>
      <c r="S149" s="16"/>
      <c r="T149" s="16"/>
      <c r="U149" s="16"/>
      <c r="V149" s="16"/>
    </row>
    <row r="150" spans="1:22" x14ac:dyDescent="0.25">
      <c r="A150" s="16"/>
      <c r="B150" s="16"/>
      <c r="C150" s="16"/>
      <c r="D150" s="16"/>
      <c r="E150" s="16"/>
      <c r="F150" s="16"/>
      <c r="G150" s="16"/>
      <c r="H150" s="16"/>
      <c r="I150" s="16"/>
      <c r="J150" s="16"/>
      <c r="K150" s="16"/>
      <c r="L150" s="16"/>
      <c r="M150" s="16"/>
      <c r="N150" s="16"/>
      <c r="O150" s="16"/>
      <c r="P150" s="16"/>
      <c r="Q150" s="16"/>
      <c r="R150" s="16"/>
      <c r="S150" s="16"/>
      <c r="T150" s="16"/>
      <c r="U150" s="16"/>
      <c r="V150" s="16"/>
    </row>
    <row r="151" spans="1:22" x14ac:dyDescent="0.25">
      <c r="A151" s="16"/>
      <c r="B151" s="16"/>
      <c r="C151" s="16"/>
      <c r="D151" s="16"/>
      <c r="E151" s="16"/>
      <c r="F151" s="16"/>
      <c r="G151" s="16"/>
      <c r="H151" s="16"/>
      <c r="I151" s="16"/>
      <c r="J151" s="16"/>
      <c r="K151" s="16"/>
      <c r="L151" s="16"/>
      <c r="M151" s="16"/>
      <c r="N151" s="16"/>
      <c r="O151" s="16"/>
      <c r="P151" s="16"/>
      <c r="Q151" s="16"/>
      <c r="R151" s="16"/>
      <c r="S151" s="16"/>
      <c r="T151" s="16"/>
      <c r="U151" s="16"/>
      <c r="V151" s="16"/>
    </row>
    <row r="152" spans="1:22" x14ac:dyDescent="0.25">
      <c r="A152" s="16"/>
      <c r="B152" s="16"/>
      <c r="C152" s="16"/>
      <c r="D152" s="16"/>
      <c r="E152" s="16"/>
      <c r="F152" s="16"/>
      <c r="G152" s="16"/>
      <c r="H152" s="16"/>
      <c r="I152" s="16"/>
      <c r="J152" s="16"/>
      <c r="K152" s="16"/>
      <c r="L152" s="16"/>
      <c r="M152" s="16"/>
      <c r="N152" s="16"/>
      <c r="O152" s="16"/>
      <c r="P152" s="16"/>
      <c r="Q152" s="16"/>
      <c r="R152" s="16"/>
      <c r="S152" s="16"/>
      <c r="T152" s="16"/>
      <c r="U152" s="16"/>
      <c r="V152" s="16"/>
    </row>
    <row r="153" spans="1:22" x14ac:dyDescent="0.25">
      <c r="A153" s="16"/>
      <c r="B153" s="16"/>
      <c r="C153" s="16"/>
      <c r="D153" s="16"/>
      <c r="E153" s="16"/>
      <c r="F153" s="16"/>
      <c r="G153" s="16"/>
      <c r="H153" s="16"/>
      <c r="I153" s="16"/>
      <c r="J153" s="16"/>
      <c r="K153" s="16"/>
      <c r="L153" s="16"/>
      <c r="M153" s="16"/>
      <c r="N153" s="16"/>
      <c r="O153" s="16"/>
      <c r="P153" s="16"/>
      <c r="Q153" s="16"/>
      <c r="R153" s="16"/>
      <c r="S153" s="16"/>
      <c r="T153" s="16"/>
      <c r="U153" s="16"/>
      <c r="V153" s="16"/>
    </row>
    <row r="154" spans="1:22" x14ac:dyDescent="0.25">
      <c r="A154" s="16"/>
      <c r="B154" s="16"/>
      <c r="C154" s="16"/>
      <c r="D154" s="16"/>
      <c r="E154" s="16"/>
      <c r="F154" s="16"/>
      <c r="G154" s="16"/>
      <c r="H154" s="16"/>
      <c r="I154" s="16"/>
      <c r="J154" s="16"/>
      <c r="K154" s="16"/>
      <c r="L154" s="16"/>
      <c r="M154" s="16"/>
      <c r="N154" s="16"/>
      <c r="O154" s="16"/>
      <c r="P154" s="16"/>
      <c r="Q154" s="16"/>
      <c r="R154" s="16"/>
      <c r="S154" s="16"/>
      <c r="T154" s="16"/>
      <c r="U154" s="16"/>
      <c r="V154" s="16"/>
    </row>
    <row r="155" spans="1:22" x14ac:dyDescent="0.25">
      <c r="A155" s="16"/>
      <c r="B155" s="16"/>
      <c r="C155" s="16"/>
      <c r="D155" s="16"/>
      <c r="E155" s="16"/>
      <c r="F155" s="16"/>
      <c r="G155" s="16"/>
      <c r="H155" s="16"/>
      <c r="I155" s="16"/>
      <c r="J155" s="16"/>
      <c r="K155" s="16"/>
      <c r="L155" s="16"/>
      <c r="M155" s="16"/>
      <c r="N155" s="16"/>
      <c r="O155" s="16"/>
      <c r="P155" s="16"/>
      <c r="Q155" s="16"/>
      <c r="R155" s="16"/>
      <c r="S155" s="16"/>
      <c r="T155" s="16"/>
      <c r="U155" s="16"/>
      <c r="V155" s="16"/>
    </row>
    <row r="156" spans="1:22" x14ac:dyDescent="0.25">
      <c r="A156" s="16"/>
      <c r="B156" s="16"/>
      <c r="C156" s="16"/>
      <c r="D156" s="16"/>
      <c r="E156" s="16"/>
      <c r="F156" s="16"/>
      <c r="G156" s="16"/>
      <c r="H156" s="16"/>
      <c r="I156" s="16"/>
      <c r="J156" s="16"/>
      <c r="K156" s="16"/>
      <c r="L156" s="16"/>
      <c r="M156" s="16"/>
      <c r="N156" s="16"/>
      <c r="O156" s="16"/>
      <c r="P156" s="16"/>
      <c r="Q156" s="16"/>
      <c r="R156" s="16"/>
      <c r="S156" s="16"/>
      <c r="T156" s="16"/>
      <c r="U156" s="16"/>
      <c r="V156" s="16"/>
    </row>
    <row r="157" spans="1:22" x14ac:dyDescent="0.25">
      <c r="A157" s="16"/>
      <c r="B157" s="16"/>
      <c r="C157" s="16"/>
      <c r="D157" s="16"/>
      <c r="E157" s="16"/>
      <c r="F157" s="16"/>
      <c r="G157" s="16"/>
      <c r="H157" s="16"/>
      <c r="I157" s="16"/>
      <c r="J157" s="16"/>
      <c r="K157" s="16"/>
      <c r="L157" s="16"/>
      <c r="M157" s="16"/>
      <c r="N157" s="16"/>
      <c r="O157" s="16"/>
      <c r="P157" s="16"/>
      <c r="Q157" s="16"/>
      <c r="R157" s="16"/>
      <c r="S157" s="16"/>
      <c r="T157" s="16"/>
      <c r="U157" s="16"/>
      <c r="V157" s="16"/>
    </row>
    <row r="158" spans="1:22" x14ac:dyDescent="0.25">
      <c r="A158" s="16"/>
      <c r="B158" s="16"/>
      <c r="C158" s="16"/>
      <c r="D158" s="16"/>
      <c r="E158" s="16"/>
      <c r="F158" s="16"/>
      <c r="G158" s="16"/>
      <c r="H158" s="16"/>
      <c r="I158" s="16"/>
      <c r="J158" s="16"/>
      <c r="K158" s="16"/>
      <c r="L158" s="16"/>
      <c r="M158" s="16"/>
      <c r="N158" s="16"/>
      <c r="O158" s="16"/>
      <c r="P158" s="16"/>
      <c r="Q158" s="16"/>
      <c r="R158" s="16"/>
      <c r="S158" s="16"/>
      <c r="T158" s="16"/>
      <c r="U158" s="16"/>
      <c r="V158" s="16"/>
    </row>
    <row r="159" spans="1:22" x14ac:dyDescent="0.25">
      <c r="A159" s="16"/>
      <c r="B159" s="16"/>
      <c r="C159" s="16"/>
      <c r="D159" s="16"/>
      <c r="E159" s="16"/>
      <c r="F159" s="16"/>
      <c r="G159" s="16"/>
      <c r="H159" s="16"/>
      <c r="I159" s="16"/>
      <c r="J159" s="16"/>
      <c r="K159" s="16"/>
      <c r="L159" s="16"/>
      <c r="M159" s="16"/>
      <c r="N159" s="16"/>
      <c r="O159" s="16"/>
      <c r="P159" s="16"/>
      <c r="Q159" s="16"/>
      <c r="R159" s="16"/>
      <c r="S159" s="16"/>
      <c r="T159" s="16"/>
      <c r="U159" s="16"/>
      <c r="V159" s="16"/>
    </row>
    <row r="160" spans="1:22" x14ac:dyDescent="0.25">
      <c r="A160" s="16"/>
      <c r="B160" s="16"/>
      <c r="C160" s="16"/>
      <c r="D160" s="16"/>
      <c r="E160" s="16"/>
      <c r="F160" s="16"/>
      <c r="G160" s="16"/>
      <c r="H160" s="16"/>
      <c r="I160" s="16"/>
      <c r="J160" s="16"/>
      <c r="K160" s="16"/>
      <c r="L160" s="16"/>
      <c r="M160" s="16"/>
      <c r="N160" s="16"/>
      <c r="O160" s="16"/>
      <c r="P160" s="16"/>
      <c r="Q160" s="16"/>
      <c r="R160" s="16"/>
      <c r="S160" s="16"/>
      <c r="T160" s="16"/>
      <c r="U160" s="16"/>
      <c r="V160" s="16"/>
    </row>
    <row r="161" spans="1:22" x14ac:dyDescent="0.25">
      <c r="A161" s="16"/>
      <c r="B161" s="16"/>
      <c r="C161" s="16"/>
      <c r="D161" s="16"/>
      <c r="E161" s="16"/>
      <c r="F161" s="16"/>
      <c r="G161" s="16"/>
      <c r="H161" s="16"/>
      <c r="I161" s="16"/>
      <c r="J161" s="16"/>
      <c r="K161" s="16"/>
      <c r="L161" s="16"/>
      <c r="M161" s="16"/>
      <c r="N161" s="16"/>
      <c r="O161" s="16"/>
      <c r="P161" s="16"/>
      <c r="Q161" s="16"/>
      <c r="R161" s="16"/>
      <c r="S161" s="16"/>
      <c r="T161" s="16"/>
      <c r="U161" s="16"/>
      <c r="V161" s="16"/>
    </row>
    <row r="162" spans="1:22" x14ac:dyDescent="0.25">
      <c r="A162" s="16"/>
      <c r="B162" s="16"/>
      <c r="C162" s="16"/>
      <c r="D162" s="16"/>
      <c r="E162" s="16"/>
      <c r="F162" s="16"/>
      <c r="G162" s="16"/>
      <c r="H162" s="16"/>
      <c r="I162" s="16"/>
      <c r="J162" s="16"/>
      <c r="K162" s="16"/>
      <c r="L162" s="16"/>
      <c r="M162" s="16"/>
      <c r="N162" s="16"/>
      <c r="O162" s="16"/>
      <c r="P162" s="16"/>
      <c r="Q162" s="16"/>
      <c r="R162" s="16"/>
      <c r="S162" s="16"/>
      <c r="T162" s="16"/>
      <c r="U162" s="16"/>
      <c r="V162" s="16"/>
    </row>
    <row r="163" spans="1:22" x14ac:dyDescent="0.25">
      <c r="A163" s="16"/>
      <c r="B163" s="16"/>
      <c r="C163" s="16"/>
      <c r="D163" s="16"/>
      <c r="E163" s="16"/>
      <c r="F163" s="16"/>
      <c r="G163" s="16"/>
      <c r="H163" s="16"/>
      <c r="I163" s="16"/>
      <c r="J163" s="16"/>
      <c r="K163" s="16"/>
      <c r="L163" s="16"/>
      <c r="M163" s="16"/>
      <c r="N163" s="16"/>
      <c r="O163" s="16"/>
      <c r="P163" s="16"/>
      <c r="Q163" s="16"/>
      <c r="R163" s="16"/>
      <c r="S163" s="16"/>
      <c r="T163" s="16"/>
      <c r="U163" s="16"/>
      <c r="V163" s="16"/>
    </row>
    <row r="164" spans="1:22" x14ac:dyDescent="0.25">
      <c r="A164" s="16"/>
      <c r="B164" s="16"/>
      <c r="C164" s="16"/>
      <c r="D164" s="16"/>
      <c r="E164" s="16"/>
      <c r="F164" s="16"/>
      <c r="G164" s="16"/>
      <c r="H164" s="16"/>
      <c r="I164" s="16"/>
      <c r="J164" s="16"/>
      <c r="K164" s="16"/>
      <c r="L164" s="16"/>
      <c r="M164" s="16"/>
      <c r="N164" s="16"/>
      <c r="O164" s="16"/>
      <c r="P164" s="16"/>
      <c r="Q164" s="16"/>
      <c r="R164" s="16"/>
      <c r="S164" s="16"/>
      <c r="T164" s="16"/>
      <c r="U164" s="16"/>
      <c r="V164" s="16"/>
    </row>
    <row r="165" spans="1:22" x14ac:dyDescent="0.25">
      <c r="A165" s="16"/>
      <c r="B165" s="16"/>
      <c r="C165" s="16"/>
      <c r="D165" s="16"/>
      <c r="E165" s="16"/>
      <c r="F165" s="16"/>
      <c r="G165" s="16"/>
      <c r="H165" s="16"/>
      <c r="I165" s="16"/>
      <c r="J165" s="16"/>
      <c r="K165" s="16"/>
      <c r="L165" s="16"/>
      <c r="M165" s="16"/>
      <c r="N165" s="16"/>
      <c r="O165" s="16"/>
      <c r="P165" s="16"/>
      <c r="Q165" s="16"/>
      <c r="R165" s="16"/>
      <c r="S165" s="16"/>
      <c r="T165" s="16"/>
      <c r="U165" s="16"/>
      <c r="V165" s="16"/>
    </row>
    <row r="166" spans="1:22" x14ac:dyDescent="0.25">
      <c r="A166" s="16"/>
      <c r="B166" s="16"/>
      <c r="C166" s="16"/>
      <c r="D166" s="16"/>
      <c r="E166" s="16"/>
      <c r="F166" s="16"/>
      <c r="G166" s="16"/>
      <c r="H166" s="16"/>
      <c r="I166" s="16"/>
      <c r="J166" s="16"/>
      <c r="K166" s="16"/>
      <c r="L166" s="16"/>
      <c r="M166" s="16"/>
      <c r="N166" s="16"/>
      <c r="O166" s="16"/>
      <c r="P166" s="16"/>
      <c r="Q166" s="16"/>
      <c r="R166" s="16"/>
      <c r="S166" s="16"/>
      <c r="T166" s="16"/>
      <c r="U166" s="16"/>
      <c r="V166" s="16"/>
    </row>
    <row r="167" spans="1:22" x14ac:dyDescent="0.25">
      <c r="A167" s="16"/>
      <c r="B167" s="16"/>
      <c r="C167" s="16"/>
      <c r="D167" s="16"/>
      <c r="E167" s="16"/>
      <c r="F167" s="16"/>
      <c r="G167" s="16"/>
      <c r="H167" s="16"/>
      <c r="I167" s="16"/>
      <c r="J167" s="16"/>
      <c r="K167" s="16"/>
      <c r="L167" s="16"/>
      <c r="M167" s="16"/>
      <c r="N167" s="16"/>
      <c r="O167" s="16"/>
      <c r="P167" s="16"/>
      <c r="Q167" s="16"/>
      <c r="R167" s="16"/>
      <c r="S167" s="16"/>
      <c r="T167" s="16"/>
      <c r="U167" s="16"/>
      <c r="V167" s="16"/>
    </row>
    <row r="168" spans="1:22" x14ac:dyDescent="0.25">
      <c r="A168" s="16"/>
      <c r="B168" s="16"/>
      <c r="C168" s="16"/>
      <c r="D168" s="16"/>
      <c r="E168" s="16"/>
      <c r="F168" s="16"/>
      <c r="G168" s="16"/>
      <c r="H168" s="16"/>
      <c r="I168" s="16"/>
      <c r="J168" s="16"/>
      <c r="K168" s="16"/>
      <c r="L168" s="16"/>
      <c r="M168" s="16"/>
      <c r="N168" s="16"/>
      <c r="O168" s="16"/>
      <c r="P168" s="16"/>
      <c r="Q168" s="16"/>
      <c r="R168" s="16"/>
      <c r="S168" s="16"/>
      <c r="T168" s="16"/>
      <c r="U168" s="16"/>
      <c r="V168" s="16"/>
    </row>
    <row r="169" spans="1:22" hidden="1" x14ac:dyDescent="0.25">
      <c r="A169" s="16"/>
      <c r="B169" s="16"/>
      <c r="C169" s="16"/>
      <c r="D169" s="16"/>
      <c r="E169" s="16"/>
      <c r="F169" s="16"/>
      <c r="G169" s="16"/>
      <c r="H169" s="16"/>
      <c r="I169" s="16"/>
      <c r="J169" s="16"/>
      <c r="K169" s="16"/>
      <c r="L169" s="16"/>
      <c r="M169" s="16"/>
      <c r="N169" s="16"/>
      <c r="O169" s="16"/>
      <c r="P169" s="16"/>
      <c r="Q169" s="16"/>
      <c r="R169" s="16"/>
      <c r="S169" s="16"/>
      <c r="T169" s="16"/>
      <c r="U169" s="16"/>
      <c r="V169" s="16"/>
    </row>
    <row r="170" spans="1:22" hidden="1" x14ac:dyDescent="0.25">
      <c r="A170" s="16"/>
      <c r="B170" s="16"/>
      <c r="C170" s="16"/>
      <c r="D170" s="16"/>
      <c r="E170" s="16"/>
      <c r="F170" s="16"/>
      <c r="G170" s="16"/>
      <c r="H170" s="16"/>
      <c r="I170" s="16"/>
      <c r="J170" s="16"/>
      <c r="K170" s="16"/>
      <c r="L170" s="16"/>
      <c r="M170" s="16"/>
      <c r="N170" s="16"/>
      <c r="O170" s="16"/>
      <c r="P170" s="16"/>
      <c r="Q170" s="16"/>
      <c r="R170" s="16"/>
      <c r="S170" s="16"/>
      <c r="T170" s="16"/>
      <c r="U170" s="16"/>
      <c r="V170" s="16"/>
    </row>
    <row r="171" spans="1:22" x14ac:dyDescent="0.25">
      <c r="A171" s="16"/>
      <c r="B171" s="16"/>
      <c r="C171" s="16"/>
      <c r="D171" s="16"/>
      <c r="E171" s="16"/>
      <c r="F171" s="16"/>
      <c r="G171" s="16"/>
      <c r="H171" s="16"/>
      <c r="I171" s="16"/>
      <c r="J171" s="16"/>
      <c r="K171" s="16"/>
      <c r="L171" s="16"/>
      <c r="M171" s="16"/>
      <c r="N171" s="16"/>
      <c r="O171" s="16"/>
      <c r="P171" s="16"/>
      <c r="Q171" s="16"/>
      <c r="R171" s="16"/>
      <c r="S171" s="16"/>
      <c r="T171" s="16"/>
      <c r="U171" s="16"/>
      <c r="V171" s="16"/>
    </row>
    <row r="172" spans="1:22" x14ac:dyDescent="0.25">
      <c r="A172" s="16"/>
      <c r="B172" s="16"/>
      <c r="C172" s="16"/>
      <c r="D172" s="16"/>
      <c r="E172" s="16"/>
      <c r="F172" s="16"/>
      <c r="G172" s="16"/>
      <c r="H172" s="16"/>
      <c r="I172" s="16"/>
      <c r="J172" s="16"/>
      <c r="K172" s="16"/>
      <c r="L172" s="16"/>
      <c r="M172" s="16"/>
      <c r="N172" s="16"/>
      <c r="O172" s="16"/>
      <c r="P172" s="16"/>
      <c r="Q172" s="16"/>
      <c r="R172" s="16"/>
      <c r="S172" s="16"/>
      <c r="T172" s="16"/>
      <c r="U172" s="16"/>
      <c r="V172" s="16"/>
    </row>
    <row r="173" spans="1:22" x14ac:dyDescent="0.25">
      <c r="A173" s="16"/>
      <c r="B173" s="16"/>
      <c r="C173" s="16"/>
      <c r="D173" s="16"/>
      <c r="E173" s="16"/>
      <c r="F173" s="16"/>
      <c r="G173" s="16"/>
      <c r="H173" s="16"/>
      <c r="I173" s="16"/>
      <c r="J173" s="16"/>
      <c r="K173" s="16"/>
      <c r="L173" s="16"/>
      <c r="M173" s="16"/>
      <c r="N173" s="16"/>
      <c r="O173" s="16"/>
      <c r="P173" s="16"/>
      <c r="Q173" s="16"/>
      <c r="R173" s="16"/>
      <c r="S173" s="16"/>
      <c r="T173" s="16"/>
      <c r="U173" s="16"/>
      <c r="V173" s="16"/>
    </row>
    <row r="174" spans="1:22" hidden="1" x14ac:dyDescent="0.25">
      <c r="A174" s="16"/>
      <c r="B174" s="16"/>
      <c r="C174" s="16"/>
      <c r="D174" s="16"/>
      <c r="E174" s="16"/>
      <c r="F174" s="16"/>
      <c r="G174" s="16"/>
      <c r="H174" s="16"/>
      <c r="I174" s="16"/>
      <c r="J174" s="16"/>
      <c r="K174" s="16"/>
      <c r="L174" s="16"/>
      <c r="M174" s="16"/>
      <c r="N174" s="16"/>
      <c r="O174" s="16"/>
      <c r="P174" s="16"/>
      <c r="Q174" s="16"/>
      <c r="R174" s="16"/>
      <c r="S174" s="16"/>
      <c r="T174" s="16"/>
      <c r="U174" s="16"/>
      <c r="V174" s="16"/>
    </row>
    <row r="175" spans="1:22" x14ac:dyDescent="0.25">
      <c r="A175" s="16"/>
      <c r="B175" s="16"/>
      <c r="C175" s="16"/>
      <c r="D175" s="16"/>
      <c r="E175" s="16"/>
      <c r="F175" s="16"/>
      <c r="G175" s="16"/>
      <c r="H175" s="16"/>
      <c r="I175" s="16"/>
      <c r="J175" s="16"/>
      <c r="K175" s="16"/>
      <c r="L175" s="16"/>
      <c r="M175" s="16"/>
      <c r="N175" s="16"/>
      <c r="O175" s="16"/>
      <c r="P175" s="16"/>
      <c r="Q175" s="16"/>
      <c r="R175" s="16"/>
      <c r="S175" s="16"/>
      <c r="T175" s="16"/>
      <c r="U175" s="16"/>
      <c r="V175" s="16"/>
    </row>
    <row r="176" spans="1:22" hidden="1" x14ac:dyDescent="0.25">
      <c r="A176" s="16"/>
      <c r="B176" s="16"/>
      <c r="C176" s="16"/>
      <c r="D176" s="16"/>
      <c r="E176" s="16"/>
      <c r="F176" s="16"/>
      <c r="G176" s="16"/>
      <c r="H176" s="16"/>
      <c r="I176" s="16"/>
      <c r="J176" s="16"/>
      <c r="K176" s="16"/>
      <c r="L176" s="16"/>
      <c r="M176" s="16"/>
      <c r="N176" s="16"/>
      <c r="O176" s="16"/>
      <c r="P176" s="16"/>
      <c r="Q176" s="16"/>
      <c r="R176" s="16"/>
      <c r="S176" s="16"/>
      <c r="T176" s="16"/>
      <c r="U176" s="16"/>
      <c r="V176" s="16"/>
    </row>
    <row r="177" spans="1:22" hidden="1" x14ac:dyDescent="0.25">
      <c r="A177" s="16"/>
      <c r="B177" s="16"/>
      <c r="C177" s="16"/>
      <c r="D177" s="16"/>
      <c r="E177" s="16"/>
      <c r="F177" s="16"/>
      <c r="G177" s="16"/>
      <c r="H177" s="16"/>
      <c r="I177" s="16"/>
      <c r="J177" s="16"/>
      <c r="K177" s="16"/>
      <c r="L177" s="16"/>
      <c r="M177" s="16"/>
      <c r="N177" s="16"/>
      <c r="O177" s="16"/>
      <c r="P177" s="16"/>
      <c r="Q177" s="16"/>
      <c r="R177" s="16"/>
      <c r="S177" s="16"/>
      <c r="T177" s="16"/>
      <c r="U177" s="16"/>
      <c r="V177" s="16"/>
    </row>
    <row r="178" spans="1:22" hidden="1" x14ac:dyDescent="0.25">
      <c r="A178" s="16"/>
      <c r="B178" s="16"/>
      <c r="C178" s="16"/>
      <c r="D178" s="16"/>
      <c r="E178" s="16"/>
      <c r="F178" s="16"/>
      <c r="G178" s="16"/>
      <c r="H178" s="16"/>
      <c r="I178" s="16"/>
      <c r="J178" s="16"/>
      <c r="K178" s="16"/>
      <c r="L178" s="16"/>
      <c r="M178" s="16"/>
      <c r="N178" s="16"/>
      <c r="O178" s="16"/>
      <c r="P178" s="16"/>
      <c r="Q178" s="16"/>
      <c r="R178" s="16"/>
      <c r="S178" s="16"/>
      <c r="T178" s="16"/>
      <c r="U178" s="16"/>
      <c r="V178" s="16"/>
    </row>
    <row r="179" spans="1:22" hidden="1" x14ac:dyDescent="0.25">
      <c r="A179" s="16"/>
      <c r="B179" s="16"/>
      <c r="C179" s="16"/>
      <c r="D179" s="16"/>
      <c r="E179" s="16"/>
      <c r="F179" s="16"/>
      <c r="G179" s="16"/>
      <c r="H179" s="16"/>
      <c r="I179" s="16"/>
      <c r="J179" s="16"/>
      <c r="K179" s="16"/>
      <c r="L179" s="16"/>
      <c r="M179" s="16"/>
      <c r="N179" s="16"/>
      <c r="O179" s="16"/>
      <c r="P179" s="16"/>
      <c r="Q179" s="16"/>
      <c r="R179" s="16"/>
      <c r="S179" s="16"/>
      <c r="T179" s="16"/>
      <c r="U179" s="16"/>
      <c r="V179" s="16"/>
    </row>
    <row r="180" spans="1:22" hidden="1" x14ac:dyDescent="0.25">
      <c r="A180" s="16"/>
      <c r="B180" s="16"/>
      <c r="C180" s="16"/>
      <c r="D180" s="16"/>
      <c r="E180" s="16"/>
      <c r="F180" s="16"/>
      <c r="G180" s="16"/>
      <c r="H180" s="16"/>
      <c r="I180" s="16"/>
      <c r="J180" s="16"/>
      <c r="K180" s="16"/>
      <c r="L180" s="16"/>
      <c r="M180" s="16"/>
      <c r="N180" s="16"/>
      <c r="O180" s="16"/>
      <c r="P180" s="16"/>
      <c r="Q180" s="16"/>
      <c r="R180" s="16"/>
      <c r="S180" s="16"/>
      <c r="T180" s="16"/>
      <c r="U180" s="16"/>
      <c r="V180" s="16"/>
    </row>
    <row r="181" spans="1:22" x14ac:dyDescent="0.25">
      <c r="A181" s="16"/>
      <c r="B181" s="16"/>
      <c r="C181" s="16"/>
      <c r="D181" s="16"/>
      <c r="E181" s="16"/>
      <c r="F181" s="16"/>
      <c r="G181" s="16"/>
      <c r="H181" s="16"/>
      <c r="I181" s="16"/>
      <c r="J181" s="16"/>
      <c r="K181" s="16"/>
      <c r="L181" s="16"/>
      <c r="M181" s="16"/>
      <c r="N181" s="16"/>
      <c r="O181" s="16"/>
      <c r="P181" s="16"/>
      <c r="Q181" s="16"/>
      <c r="R181" s="16"/>
      <c r="S181" s="16"/>
      <c r="T181" s="16"/>
      <c r="U181" s="16"/>
      <c r="V181" s="16"/>
    </row>
    <row r="182" spans="1:22" x14ac:dyDescent="0.25">
      <c r="A182" s="16"/>
      <c r="B182" s="16"/>
      <c r="C182" s="16"/>
      <c r="D182" s="16"/>
      <c r="E182" s="16"/>
      <c r="F182" s="16"/>
      <c r="G182" s="16"/>
      <c r="H182" s="16"/>
      <c r="I182" s="16"/>
      <c r="J182" s="16"/>
      <c r="K182" s="16"/>
      <c r="L182" s="16"/>
      <c r="M182" s="16"/>
      <c r="N182" s="16"/>
      <c r="O182" s="16"/>
      <c r="P182" s="16"/>
      <c r="Q182" s="16"/>
      <c r="R182" s="16"/>
      <c r="S182" s="16"/>
      <c r="T182" s="16"/>
      <c r="U182" s="16"/>
      <c r="V182" s="16"/>
    </row>
    <row r="183" spans="1:22" x14ac:dyDescent="0.25">
      <c r="A183" s="16"/>
      <c r="B183" s="16"/>
      <c r="C183" s="16"/>
      <c r="D183" s="16"/>
      <c r="E183" s="16"/>
      <c r="F183" s="16"/>
      <c r="G183" s="16"/>
      <c r="H183" s="16"/>
      <c r="I183" s="16"/>
      <c r="J183" s="16"/>
      <c r="K183" s="16"/>
      <c r="L183" s="16"/>
      <c r="M183" s="16"/>
      <c r="N183" s="16"/>
      <c r="O183" s="16"/>
      <c r="P183" s="16"/>
      <c r="Q183" s="16"/>
      <c r="R183" s="16"/>
      <c r="S183" s="16"/>
      <c r="T183" s="16"/>
      <c r="U183" s="16"/>
      <c r="V183" s="16"/>
    </row>
    <row r="184" spans="1:22" x14ac:dyDescent="0.25">
      <c r="A184" s="16"/>
      <c r="B184" s="16"/>
      <c r="C184" s="16"/>
      <c r="D184" s="16"/>
      <c r="E184" s="16"/>
      <c r="F184" s="16"/>
      <c r="G184" s="16"/>
      <c r="H184" s="16"/>
      <c r="I184" s="16"/>
      <c r="J184" s="16"/>
      <c r="K184" s="16"/>
      <c r="L184" s="16"/>
      <c r="M184" s="16"/>
      <c r="N184" s="16"/>
      <c r="O184" s="16"/>
      <c r="P184" s="16"/>
      <c r="Q184" s="16"/>
      <c r="R184" s="16"/>
      <c r="S184" s="16"/>
      <c r="T184" s="16"/>
      <c r="U184" s="16"/>
      <c r="V184" s="16"/>
    </row>
    <row r="185" spans="1:22" x14ac:dyDescent="0.25">
      <c r="A185" s="16"/>
      <c r="B185" s="16"/>
      <c r="C185" s="16"/>
      <c r="D185" s="16"/>
      <c r="E185" s="16"/>
      <c r="F185" s="16"/>
      <c r="G185" s="16"/>
      <c r="H185" s="16"/>
      <c r="I185" s="16"/>
      <c r="J185" s="16"/>
      <c r="K185" s="16"/>
      <c r="L185" s="16"/>
      <c r="M185" s="16"/>
      <c r="N185" s="16"/>
      <c r="O185" s="16"/>
      <c r="P185" s="16"/>
      <c r="Q185" s="16"/>
      <c r="R185" s="16"/>
      <c r="S185" s="16"/>
      <c r="T185" s="16"/>
      <c r="U185" s="16"/>
      <c r="V185" s="16"/>
    </row>
    <row r="186" spans="1:22" x14ac:dyDescent="0.25">
      <c r="A186" s="16"/>
      <c r="B186" s="16"/>
      <c r="C186" s="16"/>
      <c r="D186" s="16"/>
      <c r="E186" s="16"/>
      <c r="F186" s="16"/>
      <c r="G186" s="16"/>
      <c r="H186" s="16"/>
      <c r="I186" s="16"/>
      <c r="J186" s="16"/>
      <c r="K186" s="16"/>
      <c r="L186" s="16"/>
      <c r="M186" s="16"/>
      <c r="N186" s="16"/>
      <c r="O186" s="16"/>
      <c r="P186" s="16"/>
      <c r="Q186" s="16"/>
      <c r="R186" s="16"/>
      <c r="S186" s="16"/>
      <c r="T186" s="16"/>
      <c r="U186" s="16"/>
      <c r="V186" s="16"/>
    </row>
    <row r="187" spans="1:22" x14ac:dyDescent="0.25">
      <c r="A187" s="16"/>
      <c r="B187" s="16"/>
      <c r="C187" s="16"/>
      <c r="D187" s="16"/>
      <c r="E187" s="16"/>
      <c r="F187" s="16"/>
      <c r="G187" s="16"/>
      <c r="H187" s="16"/>
      <c r="I187" s="16"/>
      <c r="J187" s="16"/>
      <c r="K187" s="16"/>
      <c r="L187" s="16"/>
      <c r="M187" s="16"/>
      <c r="N187" s="16"/>
      <c r="O187" s="16"/>
      <c r="P187" s="16"/>
      <c r="Q187" s="16"/>
      <c r="R187" s="16"/>
      <c r="S187" s="16"/>
      <c r="T187" s="16"/>
      <c r="U187" s="16"/>
      <c r="V187" s="16"/>
    </row>
    <row r="188" spans="1:22" x14ac:dyDescent="0.25">
      <c r="A188" s="16"/>
      <c r="B188" s="16"/>
      <c r="C188" s="16"/>
      <c r="D188" s="16"/>
      <c r="E188" s="16"/>
      <c r="F188" s="16"/>
      <c r="G188" s="16"/>
      <c r="H188" s="16"/>
      <c r="I188" s="16"/>
      <c r="J188" s="16"/>
      <c r="K188" s="16"/>
      <c r="L188" s="16"/>
      <c r="M188" s="16"/>
      <c r="N188" s="16"/>
      <c r="O188" s="16"/>
      <c r="P188" s="16"/>
      <c r="Q188" s="16"/>
      <c r="R188" s="16"/>
      <c r="S188" s="16"/>
      <c r="T188" s="16"/>
      <c r="U188" s="16"/>
      <c r="V188" s="16"/>
    </row>
    <row r="189" spans="1:22" x14ac:dyDescent="0.25">
      <c r="A189" s="16"/>
      <c r="B189" s="16"/>
      <c r="C189" s="16"/>
      <c r="D189" s="16"/>
      <c r="E189" s="16"/>
      <c r="F189" s="16"/>
      <c r="G189" s="16"/>
      <c r="H189" s="16"/>
      <c r="I189" s="16"/>
      <c r="J189" s="16"/>
      <c r="K189" s="16"/>
      <c r="L189" s="16"/>
      <c r="M189" s="16"/>
      <c r="N189" s="16"/>
      <c r="O189" s="16"/>
      <c r="P189" s="16"/>
      <c r="Q189" s="16"/>
      <c r="R189" s="16"/>
      <c r="S189" s="16"/>
      <c r="T189" s="16"/>
      <c r="U189" s="16"/>
      <c r="V189" s="16"/>
    </row>
    <row r="190" spans="1:22" x14ac:dyDescent="0.25">
      <c r="A190" s="16"/>
      <c r="B190" s="16"/>
      <c r="C190" s="16"/>
      <c r="D190" s="16"/>
      <c r="E190" s="16"/>
      <c r="F190" s="16"/>
      <c r="G190" s="16"/>
      <c r="H190" s="16"/>
      <c r="I190" s="16"/>
      <c r="J190" s="16"/>
      <c r="K190" s="16"/>
      <c r="L190" s="16"/>
      <c r="M190" s="16"/>
      <c r="N190" s="16"/>
      <c r="O190" s="16"/>
      <c r="P190" s="16"/>
      <c r="Q190" s="16"/>
      <c r="R190" s="16"/>
      <c r="S190" s="16"/>
      <c r="T190" s="16"/>
      <c r="U190" s="16"/>
      <c r="V190" s="16"/>
    </row>
    <row r="191" spans="1:22" hidden="1" x14ac:dyDescent="0.25">
      <c r="A191" s="16"/>
      <c r="B191" s="16"/>
      <c r="C191" s="16"/>
      <c r="D191" s="16"/>
      <c r="E191" s="16"/>
      <c r="F191" s="16"/>
      <c r="G191" s="16"/>
      <c r="H191" s="16"/>
      <c r="I191" s="16"/>
      <c r="J191" s="16"/>
      <c r="K191" s="16"/>
      <c r="L191" s="16"/>
      <c r="M191" s="16"/>
      <c r="N191" s="16"/>
      <c r="O191" s="16"/>
      <c r="P191" s="16"/>
      <c r="Q191" s="16"/>
      <c r="R191" s="16"/>
      <c r="S191" s="16"/>
      <c r="T191" s="16"/>
      <c r="U191" s="16"/>
      <c r="V191" s="16"/>
    </row>
    <row r="192" spans="1:22" hidden="1" x14ac:dyDescent="0.25">
      <c r="A192" s="16"/>
      <c r="B192" s="16"/>
      <c r="C192" s="16"/>
      <c r="D192" s="16"/>
      <c r="E192" s="16"/>
      <c r="F192" s="16"/>
      <c r="G192" s="16"/>
      <c r="H192" s="16"/>
      <c r="I192" s="16"/>
      <c r="J192" s="16"/>
      <c r="K192" s="16"/>
      <c r="L192" s="16"/>
      <c r="M192" s="16"/>
      <c r="N192" s="16"/>
      <c r="O192" s="16"/>
      <c r="P192" s="16"/>
      <c r="Q192" s="16"/>
      <c r="R192" s="16"/>
      <c r="S192" s="16"/>
      <c r="T192" s="16"/>
      <c r="U192" s="16"/>
      <c r="V192" s="16"/>
    </row>
    <row r="193" spans="1:22" hidden="1" x14ac:dyDescent="0.25">
      <c r="A193" s="16"/>
      <c r="B193" s="16"/>
      <c r="C193" s="16"/>
      <c r="D193" s="16"/>
      <c r="E193" s="16"/>
      <c r="F193" s="16"/>
      <c r="G193" s="16"/>
      <c r="H193" s="16"/>
      <c r="I193" s="16"/>
      <c r="J193" s="16"/>
      <c r="K193" s="16"/>
      <c r="L193" s="16"/>
      <c r="M193" s="16"/>
      <c r="N193" s="16"/>
      <c r="O193" s="16"/>
      <c r="P193" s="16"/>
      <c r="Q193" s="16"/>
      <c r="R193" s="16"/>
      <c r="S193" s="16"/>
      <c r="T193" s="16"/>
      <c r="U193" s="16"/>
      <c r="V193" s="16"/>
    </row>
    <row r="194" spans="1:22" hidden="1" x14ac:dyDescent="0.25">
      <c r="A194" s="16"/>
      <c r="B194" s="16"/>
      <c r="C194" s="16"/>
      <c r="D194" s="16"/>
      <c r="E194" s="16"/>
      <c r="F194" s="16"/>
      <c r="G194" s="16"/>
      <c r="H194" s="16"/>
      <c r="I194" s="16"/>
      <c r="J194" s="16"/>
      <c r="K194" s="16"/>
      <c r="L194" s="16"/>
      <c r="M194" s="16"/>
      <c r="N194" s="16"/>
      <c r="O194" s="16"/>
      <c r="P194" s="16"/>
      <c r="Q194" s="16"/>
      <c r="R194" s="16"/>
      <c r="S194" s="16"/>
      <c r="T194" s="16"/>
      <c r="U194" s="16"/>
      <c r="V194" s="16"/>
    </row>
    <row r="195" spans="1:22" hidden="1" x14ac:dyDescent="0.25">
      <c r="A195" s="16"/>
      <c r="B195" s="16"/>
      <c r="C195" s="16"/>
      <c r="D195" s="16"/>
      <c r="E195" s="16"/>
      <c r="F195" s="16"/>
      <c r="G195" s="16"/>
      <c r="H195" s="16"/>
      <c r="I195" s="16"/>
      <c r="J195" s="16"/>
      <c r="K195" s="16"/>
      <c r="L195" s="16"/>
      <c r="M195" s="16"/>
      <c r="N195" s="16"/>
      <c r="O195" s="16"/>
      <c r="P195" s="16"/>
      <c r="Q195" s="16"/>
      <c r="R195" s="16"/>
      <c r="S195" s="16"/>
      <c r="T195" s="16"/>
      <c r="U195" s="16"/>
      <c r="V195" s="16"/>
    </row>
    <row r="196" spans="1:22" hidden="1" x14ac:dyDescent="0.25">
      <c r="A196" s="16"/>
      <c r="B196" s="16"/>
      <c r="C196" s="16"/>
      <c r="D196" s="16"/>
      <c r="E196" s="16"/>
      <c r="F196" s="16"/>
      <c r="G196" s="16"/>
      <c r="H196" s="16"/>
      <c r="I196" s="16"/>
      <c r="J196" s="16"/>
      <c r="K196" s="16"/>
      <c r="L196" s="16"/>
      <c r="M196" s="16"/>
      <c r="N196" s="16"/>
      <c r="O196" s="16"/>
      <c r="P196" s="16"/>
      <c r="Q196" s="16"/>
      <c r="R196" s="16"/>
      <c r="S196" s="16"/>
      <c r="T196" s="16"/>
      <c r="U196" s="16"/>
      <c r="V196" s="16"/>
    </row>
    <row r="197" spans="1:22" hidden="1" x14ac:dyDescent="0.25">
      <c r="A197" s="16"/>
      <c r="B197" s="16"/>
      <c r="C197" s="16"/>
      <c r="D197" s="16"/>
      <c r="E197" s="16"/>
      <c r="F197" s="16"/>
      <c r="G197" s="16"/>
      <c r="H197" s="16"/>
      <c r="I197" s="16"/>
      <c r="J197" s="16"/>
      <c r="K197" s="16"/>
      <c r="L197" s="16"/>
      <c r="M197" s="16"/>
      <c r="N197" s="16"/>
      <c r="O197" s="16"/>
      <c r="P197" s="16"/>
      <c r="Q197" s="16"/>
      <c r="R197" s="16"/>
      <c r="S197" s="16"/>
      <c r="T197" s="16"/>
      <c r="U197" s="16"/>
      <c r="V197" s="16"/>
    </row>
    <row r="198" spans="1:22" hidden="1" x14ac:dyDescent="0.25">
      <c r="A198" s="16"/>
      <c r="B198" s="16"/>
      <c r="C198" s="16"/>
      <c r="D198" s="16"/>
      <c r="E198" s="16"/>
      <c r="F198" s="16"/>
      <c r="G198" s="16"/>
      <c r="H198" s="16"/>
      <c r="I198" s="16"/>
      <c r="J198" s="16"/>
      <c r="K198" s="16"/>
      <c r="L198" s="16"/>
      <c r="M198" s="16"/>
      <c r="N198" s="16"/>
      <c r="O198" s="16"/>
      <c r="P198" s="16"/>
      <c r="Q198" s="16"/>
      <c r="R198" s="16"/>
      <c r="S198" s="16"/>
      <c r="T198" s="16"/>
      <c r="U198" s="16"/>
      <c r="V198" s="16"/>
    </row>
    <row r="199" spans="1:22" hidden="1" x14ac:dyDescent="0.25">
      <c r="A199" s="16"/>
      <c r="B199" s="16"/>
      <c r="C199" s="16"/>
      <c r="D199" s="16"/>
      <c r="E199" s="16"/>
      <c r="F199" s="16"/>
      <c r="G199" s="16"/>
      <c r="H199" s="16"/>
      <c r="I199" s="16"/>
      <c r="J199" s="16"/>
      <c r="K199" s="16"/>
      <c r="L199" s="16"/>
      <c r="M199" s="16"/>
      <c r="N199" s="16"/>
      <c r="O199" s="16"/>
      <c r="P199" s="16"/>
      <c r="Q199" s="16"/>
      <c r="R199" s="16"/>
      <c r="S199" s="16"/>
      <c r="T199" s="16"/>
      <c r="U199" s="16"/>
      <c r="V199" s="16"/>
    </row>
    <row r="200" spans="1:22" hidden="1" x14ac:dyDescent="0.25">
      <c r="A200" s="16"/>
      <c r="B200" s="16"/>
      <c r="C200" s="16"/>
      <c r="D200" s="16"/>
      <c r="E200" s="16"/>
      <c r="F200" s="16"/>
      <c r="G200" s="16"/>
      <c r="H200" s="16"/>
      <c r="I200" s="16"/>
      <c r="J200" s="16"/>
      <c r="K200" s="16"/>
      <c r="L200" s="16"/>
      <c r="M200" s="16"/>
      <c r="N200" s="16"/>
      <c r="O200" s="16"/>
      <c r="P200" s="16"/>
      <c r="Q200" s="16"/>
      <c r="R200" s="16"/>
      <c r="S200" s="16"/>
      <c r="T200" s="16"/>
      <c r="U200" s="16"/>
      <c r="V200" s="16"/>
    </row>
    <row r="201" spans="1:22" hidden="1" x14ac:dyDescent="0.25">
      <c r="A201" s="16"/>
      <c r="B201" s="16"/>
      <c r="C201" s="16"/>
      <c r="D201" s="16"/>
      <c r="E201" s="16"/>
      <c r="F201" s="16"/>
      <c r="G201" s="16"/>
      <c r="H201" s="16"/>
      <c r="I201" s="16"/>
      <c r="J201" s="16"/>
      <c r="K201" s="16"/>
      <c r="L201" s="16"/>
      <c r="M201" s="16"/>
      <c r="N201" s="16"/>
      <c r="O201" s="16"/>
      <c r="P201" s="16"/>
      <c r="Q201" s="16"/>
      <c r="R201" s="16"/>
      <c r="S201" s="16"/>
      <c r="T201" s="16"/>
      <c r="U201" s="16"/>
      <c r="V201" s="16"/>
    </row>
    <row r="202" spans="1:22" hidden="1" x14ac:dyDescent="0.25">
      <c r="A202" s="16"/>
      <c r="B202" s="16"/>
      <c r="C202" s="16"/>
      <c r="D202" s="16"/>
      <c r="E202" s="16"/>
      <c r="F202" s="16"/>
      <c r="G202" s="16"/>
      <c r="H202" s="16"/>
      <c r="I202" s="16"/>
      <c r="J202" s="16"/>
      <c r="K202" s="16"/>
      <c r="L202" s="16"/>
      <c r="M202" s="16"/>
      <c r="N202" s="16"/>
      <c r="O202" s="16"/>
      <c r="P202" s="16"/>
      <c r="Q202" s="16"/>
      <c r="R202" s="16"/>
      <c r="S202" s="16"/>
      <c r="T202" s="16"/>
      <c r="U202" s="16"/>
      <c r="V202" s="16"/>
    </row>
    <row r="203" spans="1:22" hidden="1" x14ac:dyDescent="0.25">
      <c r="A203" s="16"/>
      <c r="B203" s="16"/>
      <c r="C203" s="16"/>
      <c r="D203" s="16"/>
      <c r="E203" s="16"/>
      <c r="F203" s="16"/>
      <c r="G203" s="16"/>
      <c r="H203" s="16"/>
      <c r="I203" s="16"/>
      <c r="J203" s="16"/>
      <c r="K203" s="16"/>
      <c r="L203" s="16"/>
      <c r="M203" s="16"/>
      <c r="N203" s="16"/>
      <c r="O203" s="16"/>
      <c r="P203" s="16"/>
      <c r="Q203" s="16"/>
      <c r="R203" s="16"/>
      <c r="S203" s="16"/>
      <c r="T203" s="16"/>
      <c r="U203" s="16"/>
      <c r="V203" s="16"/>
    </row>
    <row r="204" spans="1:22" hidden="1" x14ac:dyDescent="0.25">
      <c r="A204" s="16"/>
      <c r="B204" s="16"/>
      <c r="C204" s="16"/>
      <c r="D204" s="16"/>
      <c r="E204" s="16"/>
      <c r="F204" s="16"/>
      <c r="G204" s="16"/>
      <c r="H204" s="16"/>
      <c r="I204" s="16"/>
      <c r="J204" s="16"/>
      <c r="K204" s="16"/>
      <c r="L204" s="16"/>
      <c r="M204" s="16"/>
      <c r="N204" s="16"/>
      <c r="O204" s="16"/>
      <c r="P204" s="16"/>
      <c r="Q204" s="16"/>
      <c r="R204" s="16"/>
      <c r="S204" s="16"/>
      <c r="T204" s="16"/>
      <c r="U204" s="16"/>
      <c r="V204" s="16"/>
    </row>
    <row r="205" spans="1:22" hidden="1" x14ac:dyDescent="0.25">
      <c r="A205" s="16"/>
      <c r="B205" s="16"/>
      <c r="C205" s="16"/>
      <c r="D205" s="16"/>
      <c r="E205" s="16"/>
      <c r="F205" s="16"/>
      <c r="G205" s="16"/>
      <c r="H205" s="16"/>
      <c r="I205" s="16"/>
      <c r="J205" s="16"/>
      <c r="K205" s="16"/>
      <c r="L205" s="16"/>
      <c r="M205" s="16"/>
      <c r="N205" s="16"/>
      <c r="O205" s="16"/>
      <c r="P205" s="16"/>
      <c r="Q205" s="16"/>
      <c r="R205" s="16"/>
      <c r="S205" s="16"/>
      <c r="T205" s="16"/>
      <c r="U205" s="16"/>
      <c r="V205" s="16"/>
    </row>
    <row r="206" spans="1:22" hidden="1" x14ac:dyDescent="0.25">
      <c r="A206" s="16"/>
      <c r="B206" s="16"/>
      <c r="C206" s="16"/>
      <c r="D206" s="16"/>
      <c r="E206" s="16"/>
      <c r="F206" s="16"/>
      <c r="G206" s="16"/>
      <c r="H206" s="16"/>
      <c r="I206" s="16"/>
      <c r="J206" s="16"/>
      <c r="K206" s="16"/>
      <c r="L206" s="16"/>
      <c r="M206" s="16"/>
      <c r="N206" s="16"/>
      <c r="O206" s="16"/>
      <c r="P206" s="16"/>
      <c r="Q206" s="16"/>
      <c r="R206" s="16"/>
      <c r="S206" s="16"/>
      <c r="T206" s="16"/>
      <c r="U206" s="16"/>
      <c r="V206" s="16"/>
    </row>
    <row r="207" spans="1:22" hidden="1" x14ac:dyDescent="0.25">
      <c r="A207" s="16"/>
      <c r="B207" s="16"/>
      <c r="C207" s="16"/>
      <c r="D207" s="16"/>
      <c r="E207" s="16"/>
      <c r="F207" s="16"/>
      <c r="G207" s="16"/>
      <c r="H207" s="16"/>
      <c r="I207" s="16"/>
      <c r="J207" s="16"/>
      <c r="K207" s="16"/>
      <c r="L207" s="16"/>
      <c r="M207" s="16"/>
      <c r="N207" s="16"/>
      <c r="O207" s="16"/>
      <c r="P207" s="16"/>
      <c r="Q207" s="16"/>
      <c r="R207" s="16"/>
      <c r="S207" s="16"/>
      <c r="T207" s="16"/>
      <c r="U207" s="16"/>
      <c r="V207" s="16"/>
    </row>
    <row r="208" spans="1:22" hidden="1" x14ac:dyDescent="0.25">
      <c r="A208" s="16"/>
      <c r="B208" s="16"/>
      <c r="C208" s="16"/>
      <c r="D208" s="16"/>
      <c r="E208" s="16"/>
      <c r="F208" s="16"/>
      <c r="G208" s="16"/>
      <c r="H208" s="16"/>
      <c r="I208" s="16"/>
      <c r="J208" s="16"/>
      <c r="K208" s="16"/>
      <c r="L208" s="16"/>
      <c r="M208" s="16"/>
      <c r="N208" s="16"/>
      <c r="O208" s="16"/>
      <c r="P208" s="16"/>
      <c r="Q208" s="16"/>
      <c r="R208" s="16"/>
      <c r="S208" s="16"/>
      <c r="T208" s="16"/>
      <c r="U208" s="16"/>
      <c r="V208" s="16"/>
    </row>
    <row r="209" spans="1:22" hidden="1" x14ac:dyDescent="0.25">
      <c r="A209" s="16"/>
      <c r="B209" s="16"/>
      <c r="C209" s="16"/>
      <c r="D209" s="16"/>
      <c r="E209" s="16"/>
      <c r="F209" s="16"/>
      <c r="G209" s="16"/>
      <c r="H209" s="16"/>
      <c r="I209" s="16"/>
      <c r="J209" s="16"/>
      <c r="K209" s="16"/>
      <c r="L209" s="16"/>
      <c r="M209" s="16"/>
      <c r="N209" s="16"/>
      <c r="O209" s="16"/>
      <c r="P209" s="16"/>
      <c r="Q209" s="16"/>
      <c r="R209" s="16"/>
      <c r="S209" s="16"/>
      <c r="T209" s="16"/>
      <c r="U209" s="16"/>
      <c r="V209" s="16"/>
    </row>
    <row r="210" spans="1:22" hidden="1" x14ac:dyDescent="0.25">
      <c r="A210" s="16"/>
      <c r="B210" s="16"/>
      <c r="C210" s="16"/>
      <c r="D210" s="16"/>
      <c r="E210" s="16"/>
      <c r="F210" s="16"/>
      <c r="G210" s="16"/>
      <c r="H210" s="16"/>
      <c r="I210" s="16"/>
      <c r="J210" s="16"/>
      <c r="K210" s="16"/>
      <c r="L210" s="16"/>
      <c r="M210" s="16"/>
      <c r="N210" s="16"/>
      <c r="O210" s="16"/>
      <c r="P210" s="16"/>
      <c r="Q210" s="16"/>
      <c r="R210" s="16"/>
      <c r="S210" s="16"/>
      <c r="T210" s="16"/>
      <c r="U210" s="16"/>
      <c r="V210" s="16"/>
    </row>
    <row r="211" spans="1:22" x14ac:dyDescent="0.25">
      <c r="A211" s="16"/>
      <c r="B211" s="16"/>
      <c r="C211" s="16"/>
      <c r="D211" s="16"/>
      <c r="E211" s="16"/>
      <c r="F211" s="16"/>
      <c r="G211" s="16"/>
      <c r="H211" s="16"/>
      <c r="I211" s="16"/>
      <c r="J211" s="16"/>
      <c r="K211" s="16"/>
      <c r="L211" s="16"/>
      <c r="M211" s="16"/>
      <c r="N211" s="16"/>
      <c r="O211" s="16"/>
      <c r="P211" s="16"/>
      <c r="Q211" s="16"/>
      <c r="R211" s="16"/>
      <c r="S211" s="16"/>
      <c r="T211" s="16"/>
      <c r="U211" s="16"/>
      <c r="V211" s="16"/>
    </row>
    <row r="212" spans="1:22" hidden="1" x14ac:dyDescent="0.25">
      <c r="A212" s="16"/>
      <c r="B212" s="16"/>
      <c r="C212" s="16"/>
      <c r="D212" s="16"/>
      <c r="E212" s="16"/>
      <c r="F212" s="16"/>
      <c r="G212" s="16"/>
      <c r="H212" s="16"/>
      <c r="I212" s="16"/>
      <c r="J212" s="16"/>
      <c r="K212" s="16"/>
      <c r="L212" s="16"/>
      <c r="M212" s="16"/>
      <c r="N212" s="16"/>
      <c r="O212" s="16"/>
      <c r="P212" s="16"/>
      <c r="Q212" s="16"/>
      <c r="R212" s="16"/>
      <c r="S212" s="16"/>
      <c r="T212" s="16"/>
      <c r="U212" s="16"/>
      <c r="V212" s="16"/>
    </row>
    <row r="213" spans="1:22" hidden="1" x14ac:dyDescent="0.25">
      <c r="A213" s="16"/>
      <c r="B213" s="16"/>
      <c r="C213" s="16"/>
      <c r="D213" s="16"/>
      <c r="E213" s="16"/>
      <c r="F213" s="16"/>
      <c r="G213" s="16"/>
      <c r="H213" s="16"/>
      <c r="I213" s="16"/>
      <c r="J213" s="16"/>
      <c r="K213" s="16"/>
      <c r="L213" s="16"/>
      <c r="M213" s="16"/>
      <c r="N213" s="16"/>
      <c r="O213" s="16"/>
      <c r="P213" s="16"/>
      <c r="Q213" s="16"/>
      <c r="R213" s="16"/>
      <c r="S213" s="16"/>
      <c r="T213" s="16"/>
      <c r="U213" s="16"/>
      <c r="V213" s="16"/>
    </row>
    <row r="214" spans="1:22" hidden="1" x14ac:dyDescent="0.25">
      <c r="A214" s="16"/>
      <c r="B214" s="16"/>
      <c r="C214" s="16"/>
      <c r="D214" s="16"/>
      <c r="E214" s="16"/>
      <c r="F214" s="16"/>
      <c r="G214" s="16"/>
      <c r="H214" s="16"/>
      <c r="I214" s="16"/>
      <c r="J214" s="16"/>
      <c r="K214" s="16"/>
      <c r="L214" s="16"/>
      <c r="M214" s="16"/>
      <c r="N214" s="16"/>
      <c r="O214" s="16"/>
      <c r="P214" s="16"/>
      <c r="Q214" s="16"/>
      <c r="R214" s="16"/>
      <c r="S214" s="16"/>
      <c r="T214" s="16"/>
      <c r="U214" s="16"/>
      <c r="V214" s="16"/>
    </row>
    <row r="215" spans="1:22" hidden="1" x14ac:dyDescent="0.25">
      <c r="A215" s="16"/>
      <c r="B215" s="16"/>
      <c r="C215" s="16"/>
      <c r="D215" s="16"/>
      <c r="E215" s="16"/>
      <c r="F215" s="16"/>
      <c r="G215" s="16"/>
      <c r="H215" s="16"/>
      <c r="I215" s="16"/>
      <c r="J215" s="16"/>
      <c r="K215" s="16"/>
      <c r="L215" s="16"/>
      <c r="M215" s="16"/>
      <c r="N215" s="16"/>
      <c r="O215" s="16"/>
      <c r="P215" s="16"/>
      <c r="Q215" s="16"/>
      <c r="R215" s="16"/>
      <c r="S215" s="16"/>
      <c r="T215" s="16"/>
      <c r="U215" s="16"/>
      <c r="V215" s="16"/>
    </row>
    <row r="216" spans="1:22" hidden="1" x14ac:dyDescent="0.25">
      <c r="A216" s="16"/>
      <c r="B216" s="16"/>
      <c r="C216" s="16"/>
      <c r="D216" s="16"/>
      <c r="E216" s="16"/>
      <c r="F216" s="16"/>
      <c r="G216" s="16"/>
      <c r="H216" s="16"/>
      <c r="I216" s="16"/>
      <c r="J216" s="16"/>
      <c r="K216" s="16"/>
      <c r="L216" s="16"/>
      <c r="M216" s="16"/>
      <c r="N216" s="16"/>
      <c r="O216" s="16"/>
      <c r="P216" s="16"/>
      <c r="Q216" s="16"/>
      <c r="R216" s="16"/>
      <c r="S216" s="16"/>
      <c r="T216" s="16"/>
      <c r="U216" s="16"/>
      <c r="V216" s="16"/>
    </row>
    <row r="217" spans="1:22" hidden="1" x14ac:dyDescent="0.25">
      <c r="A217" s="16"/>
      <c r="B217" s="16"/>
      <c r="C217" s="16"/>
      <c r="D217" s="16"/>
      <c r="E217" s="16"/>
      <c r="F217" s="16"/>
      <c r="G217" s="16"/>
      <c r="H217" s="16"/>
      <c r="I217" s="16"/>
      <c r="J217" s="16"/>
      <c r="K217" s="16"/>
      <c r="L217" s="16"/>
      <c r="M217" s="16"/>
      <c r="N217" s="16"/>
      <c r="O217" s="16"/>
      <c r="P217" s="16"/>
      <c r="Q217" s="16"/>
      <c r="R217" s="16"/>
      <c r="S217" s="16"/>
      <c r="T217" s="16"/>
      <c r="U217" s="16"/>
      <c r="V217" s="16"/>
    </row>
    <row r="218" spans="1:22" x14ac:dyDescent="0.25">
      <c r="A218" s="16"/>
      <c r="B218" s="16"/>
      <c r="C218" s="16"/>
      <c r="D218" s="16"/>
      <c r="E218" s="16"/>
      <c r="F218" s="16"/>
      <c r="G218" s="16"/>
      <c r="H218" s="16"/>
      <c r="I218" s="16"/>
      <c r="J218" s="16"/>
      <c r="K218" s="16"/>
      <c r="L218" s="16"/>
      <c r="M218" s="16"/>
      <c r="N218" s="16"/>
      <c r="O218" s="16"/>
      <c r="P218" s="16"/>
      <c r="Q218" s="16"/>
      <c r="R218" s="16"/>
      <c r="S218" s="16"/>
      <c r="T218" s="16"/>
      <c r="U218" s="16"/>
      <c r="V218" s="16"/>
    </row>
    <row r="219" spans="1:22" x14ac:dyDescent="0.25">
      <c r="A219" s="16"/>
      <c r="B219" s="16"/>
      <c r="C219" s="16"/>
      <c r="D219" s="16"/>
      <c r="E219" s="16"/>
      <c r="F219" s="16"/>
      <c r="G219" s="16"/>
      <c r="H219" s="16"/>
      <c r="I219" s="16"/>
      <c r="J219" s="16"/>
      <c r="K219" s="16"/>
      <c r="L219" s="16"/>
      <c r="M219" s="16"/>
      <c r="N219" s="16"/>
      <c r="O219" s="16"/>
      <c r="P219" s="16"/>
      <c r="Q219" s="16"/>
      <c r="R219" s="16"/>
      <c r="S219" s="16"/>
      <c r="T219" s="16"/>
      <c r="U219" s="16"/>
      <c r="V219" s="16"/>
    </row>
    <row r="220" spans="1:22" x14ac:dyDescent="0.25">
      <c r="A220" s="16"/>
      <c r="B220" s="16"/>
      <c r="C220" s="16"/>
      <c r="D220" s="16"/>
      <c r="E220" s="16"/>
      <c r="F220" s="16"/>
      <c r="G220" s="16"/>
      <c r="H220" s="16"/>
      <c r="I220" s="16"/>
      <c r="J220" s="16"/>
      <c r="K220" s="16"/>
      <c r="L220" s="16"/>
      <c r="M220" s="16"/>
      <c r="N220" s="16"/>
      <c r="O220" s="16"/>
      <c r="P220" s="16"/>
      <c r="Q220" s="16"/>
      <c r="R220" s="16"/>
      <c r="S220" s="16"/>
      <c r="T220" s="16"/>
      <c r="U220" s="16"/>
      <c r="V220" s="16"/>
    </row>
    <row r="221" spans="1:22" x14ac:dyDescent="0.25">
      <c r="A221" s="16"/>
      <c r="B221" s="16"/>
      <c r="C221" s="16"/>
      <c r="D221" s="16"/>
      <c r="E221" s="16"/>
      <c r="F221" s="16"/>
      <c r="G221" s="16"/>
      <c r="H221" s="16"/>
      <c r="I221" s="16"/>
      <c r="J221" s="16"/>
      <c r="K221" s="16"/>
      <c r="L221" s="16"/>
      <c r="M221" s="16"/>
      <c r="N221" s="16"/>
      <c r="O221" s="16"/>
      <c r="P221" s="16"/>
      <c r="Q221" s="16"/>
      <c r="R221" s="16"/>
      <c r="S221" s="16"/>
      <c r="T221" s="16"/>
      <c r="U221" s="16"/>
      <c r="V221" s="16"/>
    </row>
    <row r="222" spans="1:22" x14ac:dyDescent="0.25">
      <c r="A222" s="16"/>
      <c r="B222" s="16"/>
      <c r="C222" s="16"/>
      <c r="D222" s="16"/>
      <c r="E222" s="16"/>
      <c r="F222" s="16"/>
      <c r="G222" s="16"/>
      <c r="H222" s="16"/>
      <c r="I222" s="16"/>
      <c r="J222" s="16"/>
      <c r="K222" s="16"/>
      <c r="L222" s="16"/>
      <c r="M222" s="16"/>
      <c r="N222" s="16"/>
      <c r="O222" s="16"/>
      <c r="P222" s="16"/>
      <c r="Q222" s="16"/>
      <c r="R222" s="16"/>
      <c r="S222" s="16"/>
      <c r="T222" s="16"/>
      <c r="U222" s="16"/>
      <c r="V222" s="16"/>
    </row>
    <row r="223" spans="1:22" x14ac:dyDescent="0.25">
      <c r="A223" s="16"/>
      <c r="B223" s="16"/>
      <c r="C223" s="16"/>
      <c r="D223" s="16"/>
      <c r="E223" s="16"/>
      <c r="F223" s="16"/>
      <c r="G223" s="16"/>
      <c r="H223" s="16"/>
      <c r="I223" s="16"/>
      <c r="J223" s="16"/>
      <c r="K223" s="16"/>
      <c r="L223" s="16"/>
      <c r="M223" s="16"/>
      <c r="N223" s="16"/>
      <c r="O223" s="16"/>
      <c r="P223" s="16"/>
      <c r="Q223" s="16"/>
      <c r="R223" s="16"/>
      <c r="S223" s="16"/>
      <c r="T223" s="16"/>
      <c r="U223" s="16"/>
      <c r="V223" s="16"/>
    </row>
    <row r="224" spans="1:22" x14ac:dyDescent="0.25">
      <c r="A224" s="16"/>
      <c r="B224" s="16"/>
      <c r="C224" s="16"/>
      <c r="D224" s="16"/>
      <c r="E224" s="16"/>
      <c r="F224" s="16"/>
      <c r="G224" s="16"/>
      <c r="H224" s="16"/>
      <c r="I224" s="16"/>
      <c r="J224" s="16"/>
      <c r="K224" s="16"/>
      <c r="L224" s="16"/>
      <c r="M224" s="16"/>
      <c r="N224" s="16"/>
      <c r="O224" s="16"/>
      <c r="P224" s="16"/>
      <c r="Q224" s="16"/>
      <c r="R224" s="16"/>
      <c r="S224" s="16"/>
      <c r="T224" s="16"/>
      <c r="U224" s="16"/>
      <c r="V224" s="16"/>
    </row>
    <row r="225" spans="1:22" x14ac:dyDescent="0.25">
      <c r="A225" s="16"/>
      <c r="B225" s="16"/>
      <c r="C225" s="16"/>
      <c r="D225" s="16"/>
      <c r="E225" s="16"/>
      <c r="F225" s="16"/>
      <c r="G225" s="16"/>
      <c r="H225" s="16"/>
      <c r="I225" s="16"/>
      <c r="J225" s="16"/>
      <c r="K225" s="16"/>
      <c r="L225" s="16"/>
      <c r="M225" s="16"/>
      <c r="N225" s="16"/>
      <c r="O225" s="16"/>
      <c r="P225" s="16"/>
      <c r="Q225" s="16"/>
      <c r="R225" s="16"/>
      <c r="S225" s="16"/>
      <c r="T225" s="16"/>
      <c r="U225" s="16"/>
      <c r="V225" s="16"/>
    </row>
    <row r="226" spans="1:22" x14ac:dyDescent="0.25">
      <c r="A226" s="16"/>
      <c r="B226" s="16"/>
      <c r="C226" s="16"/>
      <c r="D226" s="16"/>
      <c r="E226" s="16"/>
      <c r="F226" s="16"/>
      <c r="G226" s="16"/>
      <c r="H226" s="16"/>
      <c r="I226" s="16"/>
      <c r="J226" s="16"/>
      <c r="K226" s="16"/>
      <c r="L226" s="16"/>
      <c r="M226" s="16"/>
      <c r="N226" s="16"/>
      <c r="O226" s="16"/>
      <c r="P226" s="16"/>
      <c r="Q226" s="16"/>
      <c r="R226" s="16"/>
      <c r="S226" s="16"/>
      <c r="T226" s="16"/>
      <c r="U226" s="16"/>
      <c r="V226" s="16"/>
    </row>
    <row r="227" spans="1:22" x14ac:dyDescent="0.25">
      <c r="A227" s="16"/>
      <c r="B227" s="16"/>
      <c r="C227" s="16"/>
      <c r="D227" s="16"/>
      <c r="E227" s="16"/>
      <c r="F227" s="16"/>
      <c r="G227" s="16"/>
      <c r="H227" s="16"/>
      <c r="I227" s="16"/>
      <c r="J227" s="16"/>
      <c r="K227" s="16"/>
      <c r="L227" s="16"/>
      <c r="M227" s="16"/>
      <c r="N227" s="16"/>
      <c r="O227" s="16"/>
      <c r="P227" s="16"/>
      <c r="Q227" s="16"/>
      <c r="R227" s="16"/>
      <c r="S227" s="16"/>
      <c r="T227" s="16"/>
      <c r="U227" s="16"/>
      <c r="V227" s="16"/>
    </row>
    <row r="228" spans="1:22" x14ac:dyDescent="0.25">
      <c r="A228" s="14"/>
      <c r="B228" s="12"/>
      <c r="C228" s="12"/>
      <c r="D228" s="16"/>
      <c r="E228" s="16"/>
      <c r="F228" s="85"/>
      <c r="G228" s="16"/>
      <c r="H228" s="13"/>
      <c r="I228" s="13"/>
      <c r="J228" s="13"/>
      <c r="K228" s="12"/>
      <c r="L228" s="16"/>
      <c r="M228" s="16"/>
      <c r="N228" s="106"/>
      <c r="O228" s="12"/>
      <c r="P228" s="106"/>
      <c r="Q228" s="12"/>
      <c r="R228" s="16"/>
      <c r="S228" s="12"/>
      <c r="T228" s="16"/>
      <c r="U228" s="16"/>
    </row>
    <row r="229" spans="1:22" x14ac:dyDescent="0.25">
      <c r="A229" s="14"/>
      <c r="B229" s="12"/>
      <c r="C229" s="12"/>
      <c r="D229" s="16"/>
      <c r="E229" s="16"/>
      <c r="F229" s="85"/>
      <c r="G229" s="16"/>
      <c r="H229" s="13"/>
      <c r="I229" s="13"/>
      <c r="J229" s="13"/>
      <c r="K229" s="12"/>
      <c r="L229" s="16"/>
      <c r="M229" s="16"/>
      <c r="N229" s="106"/>
      <c r="O229" s="12"/>
      <c r="P229" s="106"/>
      <c r="Q229" s="12"/>
      <c r="R229" s="16"/>
      <c r="S229" s="12"/>
      <c r="T229" s="16"/>
      <c r="U229" s="16"/>
    </row>
    <row r="230" spans="1:22" x14ac:dyDescent="0.25">
      <c r="A230" s="14"/>
      <c r="B230" s="12"/>
      <c r="C230" s="12"/>
      <c r="D230" s="16"/>
      <c r="E230" s="16"/>
      <c r="F230" s="85"/>
      <c r="G230" s="16"/>
      <c r="H230" s="13"/>
      <c r="I230" s="13"/>
      <c r="J230" s="13"/>
      <c r="K230" s="12"/>
      <c r="L230" s="16"/>
      <c r="M230" s="16"/>
      <c r="N230" s="106"/>
      <c r="O230" s="12"/>
      <c r="P230" s="106"/>
      <c r="Q230" s="12"/>
      <c r="R230" s="16"/>
      <c r="S230" s="12"/>
      <c r="T230" s="16"/>
      <c r="U230" s="16"/>
    </row>
    <row r="231" spans="1:22" x14ac:dyDescent="0.25">
      <c r="A231" s="14"/>
      <c r="B231" s="12"/>
      <c r="C231" s="12"/>
      <c r="D231" s="16"/>
      <c r="E231" s="16"/>
      <c r="F231" s="85"/>
      <c r="G231" s="16"/>
      <c r="H231" s="13"/>
      <c r="I231" s="13"/>
      <c r="J231" s="13"/>
      <c r="K231" s="12"/>
      <c r="L231" s="16"/>
      <c r="M231" s="16"/>
      <c r="N231" s="106"/>
      <c r="O231" s="12"/>
      <c r="P231" s="106"/>
      <c r="Q231" s="12"/>
      <c r="R231" s="16"/>
      <c r="S231" s="12"/>
      <c r="T231" s="16"/>
      <c r="U231" s="16"/>
    </row>
    <row r="232" spans="1:22" x14ac:dyDescent="0.25">
      <c r="A232" s="14"/>
      <c r="B232" s="12"/>
      <c r="C232" s="12"/>
      <c r="D232" s="16"/>
      <c r="E232" s="16"/>
      <c r="F232" s="85"/>
      <c r="G232" s="16"/>
      <c r="H232" s="13"/>
      <c r="I232" s="13"/>
      <c r="J232" s="13"/>
      <c r="K232" s="12"/>
      <c r="L232" s="16"/>
      <c r="M232" s="16"/>
      <c r="N232" s="106"/>
      <c r="O232" s="12"/>
      <c r="P232" s="106"/>
      <c r="Q232" s="12"/>
      <c r="R232" s="16"/>
      <c r="S232" s="12"/>
      <c r="T232" s="16"/>
      <c r="U232" s="16"/>
    </row>
    <row r="233" spans="1:22" x14ac:dyDescent="0.25">
      <c r="A233" s="269"/>
      <c r="B233" s="106"/>
      <c r="C233" s="106"/>
      <c r="D233" s="72"/>
      <c r="E233" s="72"/>
      <c r="F233" s="107"/>
      <c r="G233" s="72"/>
      <c r="H233" s="73"/>
      <c r="I233" s="73"/>
      <c r="J233" s="73"/>
      <c r="K233" s="106"/>
      <c r="L233" s="72"/>
      <c r="M233" s="72"/>
      <c r="N233" s="106"/>
      <c r="O233" s="12"/>
      <c r="P233" s="106"/>
      <c r="Q233" s="12"/>
      <c r="R233" s="72"/>
      <c r="S233" s="12"/>
      <c r="T233" s="72"/>
      <c r="U233" s="72"/>
    </row>
    <row r="234" spans="1:22" x14ac:dyDescent="0.25">
      <c r="A234" s="269"/>
      <c r="B234" s="106"/>
      <c r="C234" s="106"/>
      <c r="D234" s="72"/>
      <c r="E234" s="72"/>
      <c r="F234" s="107"/>
      <c r="G234" s="72"/>
      <c r="H234" s="73"/>
      <c r="I234" s="73"/>
      <c r="J234" s="73"/>
      <c r="K234" s="106"/>
      <c r="L234" s="72"/>
      <c r="M234" s="72"/>
      <c r="N234" s="106"/>
      <c r="O234" s="12"/>
      <c r="P234" s="106"/>
      <c r="Q234" s="12"/>
      <c r="R234" s="72"/>
      <c r="S234" s="12"/>
      <c r="T234" s="72"/>
      <c r="U234" s="72"/>
    </row>
    <row r="235" spans="1:22" x14ac:dyDescent="0.25">
      <c r="A235" s="269"/>
      <c r="B235" s="106"/>
      <c r="C235" s="106"/>
      <c r="D235" s="72"/>
      <c r="E235" s="72"/>
      <c r="F235" s="107"/>
      <c r="G235" s="72"/>
      <c r="H235" s="73"/>
      <c r="I235" s="73"/>
      <c r="J235" s="73"/>
      <c r="K235" s="106"/>
      <c r="L235" s="72"/>
      <c r="M235" s="72"/>
      <c r="N235" s="106"/>
      <c r="O235" s="12"/>
      <c r="P235" s="106"/>
      <c r="Q235" s="12"/>
      <c r="R235" s="72"/>
      <c r="S235" s="12"/>
      <c r="T235" s="72"/>
      <c r="U235" s="72"/>
    </row>
    <row r="236" spans="1:22" x14ac:dyDescent="0.25">
      <c r="A236" s="96"/>
      <c r="B236" s="264"/>
      <c r="C236" s="264"/>
      <c r="D236" s="265"/>
      <c r="E236" s="265"/>
      <c r="F236" s="107"/>
      <c r="G236" s="265"/>
      <c r="H236" s="266"/>
      <c r="I236" s="266"/>
      <c r="J236" s="266"/>
      <c r="K236" s="264"/>
      <c r="L236" s="265"/>
      <c r="M236" s="265"/>
      <c r="N236" s="106"/>
      <c r="O236" s="12"/>
      <c r="P236" s="106"/>
      <c r="Q236" s="12"/>
      <c r="R236" s="265"/>
      <c r="S236" s="12"/>
      <c r="T236" s="265"/>
      <c r="U236" s="265"/>
    </row>
    <row r="237" spans="1:22" x14ac:dyDescent="0.25">
      <c r="A237" s="96"/>
      <c r="B237" s="264"/>
      <c r="C237" s="264"/>
      <c r="D237" s="96"/>
      <c r="E237" s="96"/>
      <c r="F237" s="107"/>
      <c r="G237" s="96"/>
      <c r="H237" s="266"/>
      <c r="I237" s="266"/>
      <c r="J237" s="266"/>
      <c r="K237" s="264"/>
      <c r="L237" s="96"/>
      <c r="M237" s="96"/>
      <c r="N237" s="106"/>
      <c r="O237" s="12"/>
      <c r="P237" s="106"/>
      <c r="Q237" s="12"/>
      <c r="R237" s="96"/>
      <c r="S237" s="12"/>
      <c r="T237" s="96"/>
      <c r="U237" s="96"/>
    </row>
    <row r="238" spans="1:22" x14ac:dyDescent="0.25">
      <c r="A238" s="96"/>
      <c r="B238" s="264"/>
      <c r="C238" s="264"/>
      <c r="D238" s="96"/>
      <c r="E238" s="96"/>
      <c r="F238" s="107"/>
      <c r="G238" s="96"/>
      <c r="H238" s="266"/>
      <c r="I238" s="266"/>
      <c r="J238" s="266"/>
      <c r="K238" s="264"/>
      <c r="L238" s="96"/>
      <c r="M238" s="96"/>
      <c r="N238" s="106"/>
      <c r="O238" s="12"/>
      <c r="P238" s="106"/>
      <c r="Q238" s="12"/>
      <c r="R238" s="96"/>
      <c r="S238" s="12"/>
      <c r="T238" s="96"/>
      <c r="U238" s="96"/>
    </row>
    <row r="239" spans="1:22" x14ac:dyDescent="0.25">
      <c r="A239" s="96"/>
      <c r="B239" s="31"/>
      <c r="C239" s="31"/>
      <c r="D239" s="103"/>
      <c r="E239" s="103"/>
      <c r="F239" s="107"/>
      <c r="G239" s="103"/>
      <c r="H239" s="83"/>
      <c r="I239" s="83"/>
      <c r="J239" s="83"/>
      <c r="K239" s="31"/>
      <c r="L239" s="103"/>
      <c r="M239" s="103"/>
      <c r="N239" s="106"/>
      <c r="O239" s="12"/>
      <c r="P239" s="106"/>
      <c r="Q239" s="12"/>
      <c r="R239" s="103"/>
      <c r="S239" s="12"/>
      <c r="T239" s="103"/>
      <c r="U239" s="103"/>
    </row>
    <row r="240" spans="1:22" x14ac:dyDescent="0.25">
      <c r="A240" s="96"/>
      <c r="B240" s="264"/>
      <c r="C240" s="31"/>
      <c r="D240" s="103"/>
      <c r="E240" s="103"/>
      <c r="F240" s="107"/>
      <c r="G240" s="103"/>
      <c r="H240" s="83"/>
      <c r="I240" s="83"/>
      <c r="J240" s="83"/>
      <c r="K240" s="31"/>
      <c r="L240" s="103"/>
      <c r="M240" s="103"/>
      <c r="N240" s="106"/>
      <c r="O240" s="12"/>
      <c r="P240" s="106"/>
      <c r="Q240" s="12"/>
      <c r="R240" s="103"/>
      <c r="S240" s="12"/>
      <c r="T240" s="103"/>
      <c r="U240" s="103"/>
    </row>
    <row r="241" spans="1:21" x14ac:dyDescent="0.25">
      <c r="A241" s="265"/>
      <c r="B241" s="264"/>
      <c r="C241" s="264"/>
      <c r="D241" s="267"/>
      <c r="E241" s="267"/>
      <c r="F241" s="107"/>
      <c r="G241" s="267"/>
      <c r="H241" s="268"/>
      <c r="I241" s="268"/>
      <c r="J241" s="267"/>
      <c r="K241" s="264"/>
      <c r="L241" s="267"/>
      <c r="M241" s="267"/>
      <c r="N241" s="106"/>
      <c r="O241" s="12"/>
      <c r="P241" s="106"/>
      <c r="Q241" s="12"/>
      <c r="R241" s="267"/>
      <c r="S241" s="12"/>
      <c r="T241" s="267"/>
      <c r="U241" s="267"/>
    </row>
    <row r="242" spans="1:21" x14ac:dyDescent="0.25">
      <c r="A242" s="265"/>
      <c r="B242" s="264"/>
      <c r="C242" s="264"/>
      <c r="D242" s="267"/>
      <c r="E242" s="267"/>
      <c r="F242" s="107"/>
      <c r="G242" s="267"/>
      <c r="H242" s="268"/>
      <c r="I242" s="268"/>
      <c r="J242" s="267"/>
      <c r="K242" s="264"/>
      <c r="L242" s="267"/>
      <c r="M242" s="267"/>
      <c r="N242" s="106"/>
      <c r="O242" s="12"/>
      <c r="P242" s="106"/>
      <c r="Q242" s="12"/>
      <c r="R242" s="267"/>
      <c r="S242" s="12"/>
      <c r="T242" s="267"/>
      <c r="U242" s="267"/>
    </row>
    <row r="243" spans="1:21" x14ac:dyDescent="0.25">
      <c r="A243" s="265"/>
      <c r="B243" s="264"/>
      <c r="C243" s="264"/>
      <c r="D243" s="267"/>
      <c r="E243" s="267"/>
      <c r="F243" s="107"/>
      <c r="G243" s="267"/>
      <c r="H243" s="268"/>
      <c r="I243" s="268"/>
      <c r="J243" s="267"/>
      <c r="K243" s="264"/>
      <c r="L243" s="267"/>
      <c r="M243" s="267"/>
      <c r="N243" s="106"/>
      <c r="O243" s="12"/>
      <c r="P243" s="106"/>
      <c r="Q243" s="12"/>
      <c r="R243" s="267"/>
      <c r="S243" s="12"/>
      <c r="T243" s="267"/>
      <c r="U243" s="267"/>
    </row>
    <row r="244" spans="1:21" x14ac:dyDescent="0.25">
      <c r="A244" s="265"/>
      <c r="B244" s="264"/>
      <c r="C244" s="264"/>
      <c r="D244" s="267"/>
      <c r="E244" s="267"/>
      <c r="F244" s="107"/>
      <c r="G244" s="267"/>
      <c r="H244" s="268"/>
      <c r="I244" s="268"/>
      <c r="J244" s="267"/>
      <c r="K244" s="264"/>
      <c r="L244" s="267"/>
      <c r="M244" s="267"/>
      <c r="N244" s="106"/>
      <c r="O244" s="12"/>
      <c r="P244" s="106"/>
      <c r="Q244" s="12"/>
      <c r="R244" s="267"/>
      <c r="S244" s="12"/>
      <c r="T244" s="267"/>
      <c r="U244" s="267"/>
    </row>
    <row r="245" spans="1:21" x14ac:dyDescent="0.25">
      <c r="A245" s="265"/>
      <c r="B245" s="264"/>
      <c r="C245" s="264"/>
      <c r="D245" s="267"/>
      <c r="E245" s="267"/>
      <c r="F245" s="107"/>
      <c r="G245" s="267"/>
      <c r="H245" s="268"/>
      <c r="I245" s="268"/>
      <c r="J245" s="267"/>
      <c r="K245" s="264"/>
      <c r="L245" s="267"/>
      <c r="M245" s="267"/>
      <c r="N245" s="106"/>
      <c r="O245" s="12"/>
      <c r="P245" s="106"/>
      <c r="Q245" s="12"/>
      <c r="R245" s="267"/>
      <c r="S245" s="12"/>
      <c r="T245" s="267"/>
      <c r="U245" s="267"/>
    </row>
    <row r="246" spans="1:21" x14ac:dyDescent="0.25">
      <c r="A246" s="265"/>
      <c r="B246" s="264"/>
      <c r="C246" s="264"/>
      <c r="D246" s="267"/>
      <c r="E246" s="267"/>
      <c r="F246" s="107"/>
      <c r="G246" s="267"/>
      <c r="H246" s="268"/>
      <c r="I246" s="268"/>
      <c r="J246" s="267"/>
      <c r="K246" s="264"/>
      <c r="L246" s="267"/>
      <c r="M246" s="267"/>
      <c r="N246" s="106"/>
      <c r="O246" s="12"/>
      <c r="P246" s="106"/>
      <c r="Q246" s="12"/>
      <c r="R246" s="267"/>
      <c r="S246" s="12"/>
      <c r="T246" s="267"/>
      <c r="U246" s="267"/>
    </row>
    <row r="247" spans="1:21" x14ac:dyDescent="0.25">
      <c r="A247" s="265"/>
      <c r="B247" s="264"/>
      <c r="C247" s="264"/>
      <c r="D247" s="267"/>
      <c r="E247" s="267"/>
      <c r="F247" s="107"/>
      <c r="G247" s="267"/>
      <c r="H247" s="268"/>
      <c r="I247" s="268"/>
      <c r="J247" s="267"/>
      <c r="K247" s="264"/>
      <c r="L247" s="267"/>
      <c r="M247" s="267"/>
      <c r="N247" s="106"/>
      <c r="O247" s="12"/>
      <c r="P247" s="106"/>
      <c r="Q247" s="12"/>
      <c r="R247" s="267"/>
      <c r="S247" s="12"/>
      <c r="T247" s="267"/>
      <c r="U247" s="267"/>
    </row>
    <row r="248" spans="1:21" x14ac:dyDescent="0.25">
      <c r="A248" s="265"/>
      <c r="B248" s="264"/>
      <c r="C248" s="264"/>
      <c r="D248" s="267"/>
      <c r="E248" s="267"/>
      <c r="F248" s="107"/>
      <c r="G248" s="267"/>
      <c r="H248" s="268"/>
      <c r="I248" s="268"/>
      <c r="J248" s="267"/>
      <c r="K248" s="264"/>
      <c r="L248" s="267"/>
      <c r="M248" s="267"/>
      <c r="N248" s="106"/>
      <c r="O248" s="12"/>
      <c r="P248" s="106"/>
      <c r="Q248" s="12"/>
      <c r="R248" s="267"/>
      <c r="S248" s="12"/>
      <c r="T248" s="267"/>
      <c r="U248" s="267"/>
    </row>
    <row r="249" spans="1:21" x14ac:dyDescent="0.25">
      <c r="A249" s="265"/>
      <c r="B249" s="264"/>
      <c r="C249" s="264"/>
      <c r="D249" s="267"/>
      <c r="E249" s="267"/>
      <c r="F249" s="107"/>
      <c r="G249" s="267"/>
      <c r="H249" s="268"/>
      <c r="I249" s="268"/>
      <c r="J249" s="267"/>
      <c r="K249" s="264"/>
      <c r="L249" s="267"/>
      <c r="M249" s="267"/>
      <c r="N249" s="106"/>
      <c r="O249" s="12"/>
      <c r="P249" s="106"/>
      <c r="Q249" s="12"/>
      <c r="R249" s="267"/>
      <c r="S249" s="12"/>
      <c r="T249" s="267"/>
      <c r="U249" s="267"/>
    </row>
    <row r="250" spans="1:21" x14ac:dyDescent="0.25">
      <c r="A250" s="265"/>
      <c r="B250" s="264"/>
      <c r="C250" s="264"/>
      <c r="D250" s="267"/>
      <c r="E250" s="267"/>
      <c r="F250" s="107"/>
      <c r="G250" s="267"/>
      <c r="H250" s="268"/>
      <c r="I250" s="268"/>
      <c r="J250" s="267"/>
      <c r="K250" s="264"/>
      <c r="L250" s="267"/>
      <c r="M250" s="267"/>
      <c r="N250" s="106"/>
      <c r="O250" s="12"/>
      <c r="P250" s="106"/>
      <c r="Q250" s="12"/>
      <c r="R250" s="267"/>
      <c r="S250" s="12"/>
      <c r="T250" s="267"/>
      <c r="U250" s="267"/>
    </row>
    <row r="251" spans="1:21" x14ac:dyDescent="0.25">
      <c r="A251" s="265"/>
      <c r="B251" s="264"/>
      <c r="C251" s="264"/>
      <c r="D251" s="267"/>
      <c r="E251" s="267"/>
      <c r="F251" s="107"/>
      <c r="G251" s="267"/>
      <c r="H251" s="268"/>
      <c r="I251" s="268"/>
      <c r="J251" s="267"/>
      <c r="K251" s="264"/>
      <c r="L251" s="267"/>
      <c r="M251" s="267"/>
      <c r="N251" s="106"/>
      <c r="O251" s="12"/>
      <c r="P251" s="106"/>
      <c r="Q251" s="12"/>
      <c r="R251" s="267"/>
      <c r="S251" s="12"/>
      <c r="T251" s="267"/>
      <c r="U251" s="267"/>
    </row>
    <row r="252" spans="1:21" x14ac:dyDescent="0.25">
      <c r="A252" s="265"/>
      <c r="B252" s="264"/>
      <c r="C252" s="264"/>
      <c r="D252" s="267"/>
      <c r="E252" s="267"/>
      <c r="F252" s="107"/>
      <c r="G252" s="267"/>
      <c r="H252" s="268"/>
      <c r="I252" s="268"/>
      <c r="J252" s="267"/>
      <c r="K252" s="264"/>
      <c r="L252" s="267"/>
      <c r="M252" s="267"/>
      <c r="N252" s="106"/>
      <c r="O252" s="12"/>
      <c r="P252" s="106"/>
      <c r="Q252" s="12"/>
      <c r="R252" s="267"/>
      <c r="S252" s="12"/>
      <c r="T252" s="267"/>
      <c r="U252" s="267"/>
    </row>
    <row r="253" spans="1:21" x14ac:dyDescent="0.25">
      <c r="A253" s="265"/>
      <c r="B253" s="264"/>
      <c r="C253" s="264"/>
      <c r="D253" s="267"/>
      <c r="E253" s="267"/>
      <c r="F253" s="107"/>
      <c r="G253" s="267"/>
      <c r="H253" s="268"/>
      <c r="I253" s="268"/>
      <c r="J253" s="267"/>
      <c r="K253" s="264"/>
      <c r="L253" s="267"/>
      <c r="M253" s="267"/>
      <c r="N253" s="106"/>
      <c r="O253" s="12"/>
      <c r="P253" s="106"/>
      <c r="Q253" s="12"/>
      <c r="R253" s="267"/>
      <c r="S253" s="12"/>
      <c r="T253" s="267"/>
      <c r="U253" s="267"/>
    </row>
    <row r="254" spans="1:21" x14ac:dyDescent="0.25">
      <c r="A254" s="265"/>
      <c r="B254" s="264"/>
      <c r="C254" s="264"/>
      <c r="D254" s="267"/>
      <c r="E254" s="267"/>
      <c r="F254" s="107"/>
      <c r="G254" s="267"/>
      <c r="H254" s="268"/>
      <c r="I254" s="268"/>
      <c r="J254" s="267"/>
      <c r="K254" s="264"/>
      <c r="L254" s="267"/>
      <c r="M254" s="267"/>
      <c r="N254" s="106"/>
      <c r="O254" s="12"/>
      <c r="P254" s="106"/>
      <c r="Q254" s="12"/>
      <c r="R254" s="267"/>
      <c r="S254" s="12"/>
      <c r="T254" s="267"/>
      <c r="U254" s="267"/>
    </row>
    <row r="255" spans="1:21" x14ac:dyDescent="0.25">
      <c r="A255" s="265"/>
      <c r="B255" s="264"/>
      <c r="C255" s="264"/>
      <c r="D255" s="267"/>
      <c r="E255" s="267"/>
      <c r="F255" s="107"/>
      <c r="G255" s="267"/>
      <c r="H255" s="268"/>
      <c r="I255" s="268"/>
      <c r="J255" s="267"/>
      <c r="K255" s="264"/>
      <c r="L255" s="267"/>
      <c r="M255" s="267"/>
      <c r="N255" s="106"/>
      <c r="O255" s="12"/>
      <c r="P255" s="106"/>
      <c r="Q255" s="12"/>
      <c r="R255" s="267"/>
      <c r="S255" s="12"/>
      <c r="T255" s="267"/>
      <c r="U255" s="267"/>
    </row>
    <row r="256" spans="1:21" x14ac:dyDescent="0.25">
      <c r="A256" s="265"/>
      <c r="B256" s="264"/>
      <c r="C256" s="264"/>
      <c r="D256" s="267"/>
      <c r="E256" s="267"/>
      <c r="F256" s="107"/>
      <c r="G256" s="267"/>
      <c r="H256" s="268"/>
      <c r="I256" s="268"/>
      <c r="J256" s="267"/>
      <c r="K256" s="264"/>
      <c r="L256" s="267"/>
      <c r="M256" s="267"/>
      <c r="N256" s="106"/>
      <c r="O256" s="12"/>
      <c r="P256" s="106"/>
      <c r="Q256" s="12"/>
      <c r="R256" s="267"/>
      <c r="S256" s="12"/>
      <c r="T256" s="267"/>
      <c r="U256" s="267"/>
    </row>
    <row r="257" spans="1:21" x14ac:dyDescent="0.25">
      <c r="A257" s="265"/>
      <c r="B257" s="264"/>
      <c r="C257" s="264"/>
      <c r="D257" s="267"/>
      <c r="E257" s="267"/>
      <c r="F257" s="107"/>
      <c r="G257" s="267"/>
      <c r="H257" s="268"/>
      <c r="I257" s="268"/>
      <c r="J257" s="267"/>
      <c r="K257" s="264"/>
      <c r="L257" s="267"/>
      <c r="M257" s="267"/>
      <c r="N257" s="106"/>
      <c r="O257" s="12"/>
      <c r="P257" s="106"/>
      <c r="Q257" s="12"/>
      <c r="R257" s="267"/>
      <c r="S257" s="12"/>
      <c r="T257" s="267"/>
      <c r="U257" s="267"/>
    </row>
    <row r="258" spans="1:21" x14ac:dyDescent="0.25">
      <c r="A258" s="265"/>
      <c r="B258" s="264"/>
      <c r="C258" s="264"/>
      <c r="D258" s="267"/>
      <c r="E258" s="267"/>
      <c r="F258" s="107"/>
      <c r="G258" s="267"/>
      <c r="H258" s="268"/>
      <c r="I258" s="268"/>
      <c r="J258" s="267"/>
      <c r="K258" s="264"/>
      <c r="L258" s="267"/>
      <c r="M258" s="267"/>
      <c r="N258" s="106"/>
      <c r="O258" s="12"/>
      <c r="P258" s="106"/>
      <c r="Q258" s="12"/>
      <c r="R258" s="267"/>
      <c r="S258" s="12"/>
      <c r="T258" s="267"/>
      <c r="U258" s="267"/>
    </row>
    <row r="259" spans="1:21" x14ac:dyDescent="0.25">
      <c r="A259" s="265"/>
      <c r="B259" s="264"/>
      <c r="C259" s="264"/>
      <c r="D259" s="267"/>
      <c r="E259" s="267"/>
      <c r="F259" s="107"/>
      <c r="G259" s="267"/>
      <c r="H259" s="268"/>
      <c r="I259" s="268"/>
      <c r="J259" s="267"/>
      <c r="K259" s="264"/>
      <c r="L259" s="267"/>
      <c r="M259" s="267"/>
      <c r="N259" s="106"/>
      <c r="O259" s="12"/>
      <c r="P259" s="106"/>
      <c r="Q259" s="12"/>
      <c r="R259" s="267"/>
      <c r="S259" s="12"/>
      <c r="T259" s="267"/>
      <c r="U259" s="267"/>
    </row>
    <row r="260" spans="1:21" x14ac:dyDescent="0.25">
      <c r="A260" s="265"/>
      <c r="B260" s="264"/>
      <c r="C260" s="264"/>
      <c r="D260" s="267"/>
      <c r="E260" s="267"/>
      <c r="F260" s="107"/>
      <c r="G260" s="267"/>
      <c r="H260" s="268"/>
      <c r="I260" s="268"/>
      <c r="J260" s="267"/>
      <c r="K260" s="264"/>
      <c r="L260" s="267"/>
      <c r="M260" s="267"/>
      <c r="N260" s="106"/>
      <c r="O260" s="12"/>
      <c r="P260" s="106"/>
      <c r="Q260" s="12"/>
      <c r="R260" s="267"/>
      <c r="S260" s="12"/>
      <c r="T260" s="267"/>
      <c r="U260" s="267"/>
    </row>
    <row r="261" spans="1:21" x14ac:dyDescent="0.25">
      <c r="A261" s="265"/>
      <c r="B261" s="264"/>
      <c r="C261" s="264"/>
      <c r="D261" s="267"/>
      <c r="E261" s="267"/>
      <c r="F261" s="107"/>
      <c r="G261" s="267"/>
      <c r="H261" s="268"/>
      <c r="I261" s="268"/>
      <c r="J261" s="267"/>
      <c r="K261" s="264"/>
      <c r="L261" s="267"/>
      <c r="M261" s="267"/>
      <c r="N261" s="106"/>
      <c r="O261" s="12"/>
      <c r="P261" s="106"/>
      <c r="Q261" s="12"/>
      <c r="R261" s="267"/>
      <c r="S261" s="12"/>
      <c r="T261" s="267"/>
      <c r="U261" s="267"/>
    </row>
    <row r="262" spans="1:21" x14ac:dyDescent="0.25">
      <c r="A262" s="265"/>
      <c r="B262" s="266"/>
      <c r="C262" s="266"/>
      <c r="D262" s="266"/>
      <c r="E262" s="266"/>
      <c r="F262" s="107"/>
      <c r="G262" s="266"/>
      <c r="H262" s="266"/>
      <c r="I262" s="266"/>
      <c r="J262" s="267"/>
      <c r="K262" s="266"/>
      <c r="L262" s="266"/>
      <c r="M262" s="266"/>
      <c r="N262" s="106"/>
      <c r="O262" s="12"/>
      <c r="P262" s="106"/>
      <c r="Q262" s="12"/>
      <c r="R262" s="266"/>
      <c r="S262" s="12"/>
      <c r="T262" s="266"/>
      <c r="U262" s="266"/>
    </row>
    <row r="263" spans="1:21" x14ac:dyDescent="0.25">
      <c r="A263" s="265"/>
      <c r="B263" s="266"/>
      <c r="C263" s="266"/>
      <c r="D263" s="266"/>
      <c r="E263" s="266"/>
      <c r="F263" s="107"/>
      <c r="G263" s="266"/>
      <c r="H263" s="266"/>
      <c r="I263" s="266"/>
      <c r="J263" s="267"/>
      <c r="K263" s="266"/>
      <c r="L263" s="266"/>
      <c r="M263" s="266"/>
      <c r="N263" s="106"/>
      <c r="O263" s="12"/>
      <c r="P263" s="106"/>
      <c r="Q263" s="12"/>
      <c r="R263" s="266"/>
      <c r="S263" s="12"/>
      <c r="T263" s="266"/>
      <c r="U263" s="266"/>
    </row>
    <row r="264" spans="1:21" x14ac:dyDescent="0.25">
      <c r="A264" s="265"/>
      <c r="B264" s="266"/>
      <c r="C264" s="266"/>
      <c r="D264" s="266"/>
      <c r="E264" s="266"/>
      <c r="F264" s="107"/>
      <c r="G264" s="266"/>
      <c r="H264" s="266"/>
      <c r="I264" s="266"/>
      <c r="J264" s="267"/>
      <c r="K264" s="266"/>
      <c r="L264" s="266"/>
      <c r="M264" s="266"/>
      <c r="N264" s="106"/>
      <c r="O264" s="12"/>
      <c r="P264" s="106"/>
      <c r="Q264" s="12"/>
      <c r="R264" s="266"/>
      <c r="S264" s="12"/>
      <c r="T264" s="266"/>
      <c r="U264" s="266"/>
    </row>
    <row r="265" spans="1:21" x14ac:dyDescent="0.25">
      <c r="A265" s="269"/>
      <c r="B265" s="106"/>
      <c r="C265" s="106"/>
      <c r="D265" s="72"/>
      <c r="E265" s="72"/>
      <c r="F265" s="107"/>
      <c r="G265" s="72"/>
      <c r="H265" s="73"/>
      <c r="I265" s="73"/>
      <c r="J265" s="73"/>
      <c r="K265" s="106"/>
      <c r="L265" s="72"/>
      <c r="M265" s="72"/>
      <c r="N265" s="106"/>
      <c r="O265" s="12"/>
      <c r="P265" s="106"/>
      <c r="Q265" s="12"/>
      <c r="R265" s="72"/>
      <c r="S265" s="12"/>
      <c r="T265" s="72"/>
      <c r="U265" s="72"/>
    </row>
    <row r="266" spans="1:21" x14ac:dyDescent="0.25">
      <c r="A266" s="269"/>
      <c r="B266" s="106"/>
      <c r="C266" s="106"/>
      <c r="D266" s="72"/>
      <c r="E266" s="72"/>
      <c r="F266" s="107"/>
      <c r="G266" s="72"/>
      <c r="H266" s="73"/>
      <c r="I266" s="73"/>
      <c r="J266" s="73"/>
      <c r="K266" s="106"/>
      <c r="L266" s="72"/>
      <c r="M266" s="72"/>
      <c r="N266" s="106"/>
      <c r="O266" s="12"/>
      <c r="P266" s="106"/>
      <c r="Q266" s="12"/>
      <c r="R266" s="72"/>
      <c r="S266" s="12"/>
      <c r="T266" s="72"/>
      <c r="U266" s="72"/>
    </row>
    <row r="267" spans="1:21" x14ac:dyDescent="0.25">
      <c r="A267" s="14"/>
      <c r="B267" s="12"/>
      <c r="C267" s="12"/>
      <c r="D267" s="16"/>
      <c r="E267" s="16"/>
      <c r="F267" s="85"/>
      <c r="G267" s="16"/>
      <c r="H267" s="13"/>
      <c r="I267" s="13"/>
      <c r="J267" s="13"/>
      <c r="K267" s="12"/>
      <c r="L267" s="16"/>
      <c r="M267" s="16"/>
      <c r="N267" s="106"/>
      <c r="O267" s="12"/>
      <c r="P267" s="106"/>
      <c r="Q267" s="12"/>
      <c r="R267" s="16"/>
      <c r="S267" s="12"/>
      <c r="T267" s="16"/>
      <c r="U267" s="16"/>
    </row>
    <row r="268" spans="1:21" x14ac:dyDescent="0.25">
      <c r="A268" s="14"/>
      <c r="B268" s="12"/>
      <c r="C268" s="12"/>
      <c r="D268" s="16"/>
      <c r="E268" s="16"/>
      <c r="F268" s="85"/>
      <c r="G268" s="16"/>
      <c r="H268" s="13"/>
      <c r="I268" s="13"/>
      <c r="J268" s="13"/>
      <c r="K268" s="12"/>
      <c r="L268" s="16"/>
      <c r="M268" s="16"/>
      <c r="N268" s="106"/>
      <c r="O268" s="12"/>
      <c r="P268" s="106"/>
      <c r="Q268" s="12"/>
      <c r="R268" s="16"/>
      <c r="S268" s="12"/>
      <c r="T268" s="16"/>
      <c r="U268" s="16"/>
    </row>
    <row r="269" spans="1:21" x14ac:dyDescent="0.25">
      <c r="A269" s="14"/>
      <c r="B269" s="12"/>
      <c r="C269" s="12"/>
      <c r="D269" s="16"/>
      <c r="E269" s="16"/>
      <c r="F269" s="85"/>
      <c r="G269" s="16"/>
      <c r="H269" s="13"/>
      <c r="I269" s="13"/>
      <c r="J269" s="13"/>
      <c r="K269" s="12"/>
      <c r="L269" s="16"/>
      <c r="M269" s="16"/>
      <c r="N269" s="106"/>
      <c r="O269" s="12"/>
      <c r="P269" s="106"/>
      <c r="Q269" s="12"/>
      <c r="R269" s="16"/>
      <c r="S269" s="12"/>
      <c r="T269" s="16"/>
      <c r="U269" s="16"/>
    </row>
    <row r="270" spans="1:21" x14ac:dyDescent="0.25">
      <c r="A270" s="14"/>
      <c r="B270" s="12"/>
      <c r="C270" s="12"/>
      <c r="D270" s="16"/>
      <c r="E270" s="16"/>
      <c r="F270" s="85"/>
      <c r="G270" s="16"/>
      <c r="H270" s="13"/>
      <c r="I270" s="13"/>
      <c r="J270" s="13"/>
      <c r="K270" s="12"/>
      <c r="L270" s="16"/>
      <c r="M270" s="16"/>
      <c r="N270" s="106"/>
      <c r="O270" s="12"/>
      <c r="P270" s="106"/>
      <c r="Q270" s="12"/>
      <c r="R270" s="16"/>
      <c r="S270" s="12"/>
      <c r="T270" s="16"/>
      <c r="U270" s="16"/>
    </row>
    <row r="271" spans="1:21" x14ac:dyDescent="0.25">
      <c r="A271" s="14"/>
      <c r="B271" s="12"/>
      <c r="C271" s="12"/>
      <c r="D271" s="16"/>
      <c r="E271" s="16"/>
      <c r="F271" s="85"/>
      <c r="G271" s="16"/>
      <c r="H271" s="13"/>
      <c r="I271" s="13"/>
      <c r="J271" s="13"/>
      <c r="K271" s="12"/>
      <c r="L271" s="16"/>
      <c r="M271" s="16"/>
      <c r="N271" s="106"/>
      <c r="O271" s="12"/>
      <c r="P271" s="106"/>
      <c r="Q271" s="12"/>
      <c r="R271" s="16"/>
      <c r="S271" s="12"/>
      <c r="T271" s="16"/>
      <c r="U271" s="16"/>
    </row>
    <row r="272" spans="1:21" x14ac:dyDescent="0.25">
      <c r="A272" s="14"/>
      <c r="B272" s="12"/>
      <c r="C272" s="12"/>
      <c r="D272" s="16"/>
      <c r="E272" s="16"/>
      <c r="F272" s="85"/>
      <c r="G272" s="16"/>
      <c r="H272" s="13"/>
      <c r="I272" s="13"/>
      <c r="J272" s="13"/>
      <c r="K272" s="12"/>
      <c r="L272" s="16"/>
      <c r="M272" s="16"/>
      <c r="N272" s="106"/>
      <c r="O272" s="12"/>
      <c r="P272" s="106"/>
      <c r="Q272" s="12"/>
      <c r="R272" s="16"/>
      <c r="S272" s="12"/>
      <c r="T272" s="16"/>
      <c r="U272" s="16"/>
    </row>
    <row r="273" spans="1:21" x14ac:dyDescent="0.25">
      <c r="A273" s="14"/>
      <c r="B273" s="12"/>
      <c r="C273" s="12"/>
      <c r="D273" s="16"/>
      <c r="E273" s="16"/>
      <c r="F273" s="85"/>
      <c r="G273" s="16"/>
      <c r="H273" s="13"/>
      <c r="I273" s="13"/>
      <c r="J273" s="13"/>
      <c r="K273" s="12"/>
      <c r="L273" s="16"/>
      <c r="M273" s="16"/>
      <c r="N273" s="106"/>
      <c r="O273" s="12"/>
      <c r="P273" s="106"/>
      <c r="Q273" s="12"/>
      <c r="R273" s="16"/>
      <c r="S273" s="12"/>
      <c r="T273" s="16"/>
      <c r="U273" s="16"/>
    </row>
    <row r="274" spans="1:21" x14ac:dyDescent="0.25">
      <c r="A274" s="14"/>
      <c r="B274" s="12"/>
      <c r="C274" s="12"/>
      <c r="D274" s="16"/>
      <c r="E274" s="16"/>
      <c r="F274" s="85"/>
      <c r="G274" s="16"/>
      <c r="H274" s="13"/>
      <c r="I274" s="13"/>
      <c r="J274" s="13"/>
      <c r="K274" s="12"/>
      <c r="L274" s="16"/>
      <c r="M274" s="16"/>
      <c r="N274" s="106"/>
      <c r="O274" s="12"/>
      <c r="P274" s="106"/>
      <c r="Q274" s="12"/>
      <c r="R274" s="16"/>
      <c r="S274" s="12"/>
      <c r="T274" s="16"/>
      <c r="U274" s="16"/>
    </row>
    <row r="275" spans="1:21" x14ac:dyDescent="0.25">
      <c r="A275" s="14"/>
      <c r="B275" s="12"/>
      <c r="C275" s="12"/>
      <c r="D275" s="16"/>
      <c r="E275" s="16"/>
      <c r="F275" s="85"/>
      <c r="G275" s="16"/>
      <c r="H275" s="13"/>
      <c r="I275" s="13"/>
      <c r="J275" s="13"/>
      <c r="K275" s="12"/>
      <c r="L275" s="16"/>
      <c r="M275" s="16"/>
      <c r="N275" s="106"/>
      <c r="O275" s="12"/>
      <c r="P275" s="106"/>
      <c r="Q275" s="12"/>
      <c r="R275" s="16"/>
      <c r="S275" s="12"/>
      <c r="T275" s="16"/>
      <c r="U275" s="16"/>
    </row>
    <row r="276" spans="1:21" x14ac:dyDescent="0.25">
      <c r="A276" s="14"/>
      <c r="B276" s="12"/>
      <c r="C276" s="12"/>
      <c r="D276" s="16"/>
      <c r="E276" s="16"/>
      <c r="F276" s="85"/>
      <c r="G276" s="16"/>
      <c r="H276" s="13"/>
      <c r="I276" s="13"/>
      <c r="J276" s="13"/>
      <c r="K276" s="12"/>
      <c r="L276" s="16"/>
      <c r="M276" s="16"/>
      <c r="N276" s="106"/>
      <c r="O276" s="12"/>
      <c r="P276" s="106"/>
      <c r="Q276" s="12"/>
      <c r="R276" s="16"/>
      <c r="S276" s="12"/>
      <c r="T276" s="16"/>
      <c r="U276" s="16"/>
    </row>
    <row r="277" spans="1:21" x14ac:dyDescent="0.25">
      <c r="A277" s="14"/>
      <c r="B277" s="12"/>
      <c r="C277" s="12"/>
      <c r="D277" s="16"/>
      <c r="E277" s="16"/>
      <c r="F277" s="85"/>
      <c r="G277" s="16"/>
      <c r="H277" s="13"/>
      <c r="I277" s="13"/>
      <c r="J277" s="13"/>
      <c r="K277" s="12"/>
      <c r="L277" s="16"/>
      <c r="M277" s="16"/>
      <c r="N277" s="106"/>
      <c r="O277" s="12"/>
      <c r="P277" s="106"/>
      <c r="Q277" s="12"/>
      <c r="R277" s="16"/>
      <c r="S277" s="12"/>
      <c r="T277" s="16"/>
      <c r="U277" s="16"/>
    </row>
    <row r="278" spans="1:21" x14ac:dyDescent="0.25">
      <c r="A278" s="14"/>
      <c r="B278" s="12"/>
      <c r="C278" s="12"/>
      <c r="D278" s="16"/>
      <c r="E278" s="16"/>
      <c r="F278" s="85"/>
      <c r="G278" s="16"/>
      <c r="H278" s="13"/>
      <c r="I278" s="13"/>
      <c r="J278" s="13"/>
      <c r="K278" s="12"/>
      <c r="L278" s="16"/>
      <c r="M278" s="16"/>
      <c r="N278" s="106"/>
      <c r="O278" s="12"/>
      <c r="P278" s="106"/>
      <c r="Q278" s="12"/>
      <c r="R278" s="16"/>
      <c r="S278" s="12"/>
      <c r="T278" s="16"/>
      <c r="U278" s="16"/>
    </row>
    <row r="279" spans="1:21" x14ac:dyDescent="0.25">
      <c r="A279" s="14"/>
      <c r="B279" s="12"/>
      <c r="C279" s="12"/>
      <c r="D279" s="16"/>
      <c r="E279" s="16"/>
      <c r="F279" s="85"/>
      <c r="G279" s="16"/>
      <c r="H279" s="13"/>
      <c r="I279" s="13"/>
      <c r="J279" s="13"/>
      <c r="K279" s="12"/>
      <c r="L279" s="16"/>
      <c r="M279" s="16"/>
      <c r="N279" s="106"/>
      <c r="O279" s="12"/>
      <c r="P279" s="106"/>
      <c r="Q279" s="12"/>
      <c r="R279" s="16"/>
      <c r="S279" s="12"/>
      <c r="T279" s="16"/>
      <c r="U279" s="16"/>
    </row>
    <row r="280" spans="1:21" x14ac:dyDescent="0.25">
      <c r="A280" s="14"/>
      <c r="B280" s="12"/>
      <c r="C280" s="12"/>
      <c r="D280" s="16"/>
      <c r="E280" s="16"/>
      <c r="F280" s="85"/>
      <c r="G280" s="16"/>
      <c r="H280" s="13"/>
      <c r="I280" s="13"/>
      <c r="J280" s="13"/>
      <c r="K280" s="12"/>
      <c r="L280" s="16"/>
      <c r="M280" s="16"/>
      <c r="N280" s="106"/>
      <c r="O280" s="12"/>
      <c r="P280" s="106"/>
      <c r="Q280" s="12"/>
      <c r="R280" s="16"/>
      <c r="S280" s="12"/>
      <c r="T280" s="16"/>
      <c r="U280" s="16"/>
    </row>
    <row r="281" spans="1:21" x14ac:dyDescent="0.25">
      <c r="A281" s="14"/>
      <c r="B281" s="12"/>
      <c r="C281" s="12"/>
      <c r="D281" s="16"/>
      <c r="E281" s="16"/>
      <c r="F281" s="85"/>
      <c r="G281" s="16"/>
      <c r="H281" s="13"/>
      <c r="I281" s="13"/>
      <c r="J281" s="13"/>
      <c r="K281" s="12"/>
      <c r="L281" s="16"/>
      <c r="M281" s="16"/>
      <c r="N281" s="106"/>
      <c r="O281" s="12"/>
      <c r="P281" s="106"/>
      <c r="Q281" s="12"/>
      <c r="R281" s="16"/>
      <c r="S281" s="12"/>
      <c r="T281" s="16"/>
      <c r="U281" s="16"/>
    </row>
    <row r="282" spans="1:21" x14ac:dyDescent="0.25">
      <c r="A282" s="14"/>
      <c r="B282" s="12"/>
      <c r="C282" s="12"/>
      <c r="D282" s="16"/>
      <c r="E282" s="16"/>
      <c r="F282" s="85"/>
      <c r="G282" s="16"/>
      <c r="H282" s="13"/>
      <c r="I282" s="13"/>
      <c r="J282" s="13"/>
      <c r="K282" s="12"/>
      <c r="L282" s="16"/>
      <c r="M282" s="16"/>
      <c r="N282" s="106"/>
      <c r="O282" s="12"/>
      <c r="P282" s="106"/>
      <c r="Q282" s="12"/>
      <c r="R282" s="16"/>
      <c r="S282" s="12"/>
      <c r="T282" s="16"/>
      <c r="U282" s="16"/>
    </row>
    <row r="283" spans="1:21" x14ac:dyDescent="0.25">
      <c r="A283" s="14"/>
      <c r="B283" s="12"/>
      <c r="C283" s="12"/>
      <c r="D283" s="16"/>
      <c r="E283" s="16"/>
      <c r="F283" s="85"/>
      <c r="G283" s="16"/>
      <c r="H283" s="13"/>
      <c r="I283" s="13"/>
      <c r="J283" s="13"/>
      <c r="K283" s="12"/>
      <c r="L283" s="16"/>
      <c r="M283" s="16"/>
      <c r="N283" s="106"/>
      <c r="O283" s="12"/>
      <c r="P283" s="106"/>
      <c r="Q283" s="12"/>
      <c r="R283" s="16"/>
      <c r="S283" s="12"/>
      <c r="T283" s="16"/>
      <c r="U283" s="16"/>
    </row>
    <row r="284" spans="1:21" x14ac:dyDescent="0.25">
      <c r="A284" s="14"/>
      <c r="B284" s="12"/>
      <c r="C284" s="12"/>
      <c r="D284" s="16"/>
      <c r="E284" s="16"/>
      <c r="F284" s="85"/>
      <c r="G284" s="16"/>
      <c r="H284" s="13"/>
      <c r="I284" s="13"/>
      <c r="J284" s="13"/>
      <c r="K284" s="12"/>
      <c r="L284" s="16"/>
      <c r="M284" s="16"/>
      <c r="N284" s="106"/>
      <c r="O284" s="12"/>
      <c r="P284" s="106"/>
      <c r="Q284" s="12"/>
      <c r="R284" s="16"/>
      <c r="S284" s="12"/>
      <c r="T284" s="16"/>
      <c r="U284" s="16"/>
    </row>
    <row r="285" spans="1:21" x14ac:dyDescent="0.25">
      <c r="A285" s="14"/>
      <c r="B285" s="12"/>
      <c r="C285" s="12"/>
      <c r="D285" s="16"/>
      <c r="E285" s="16"/>
      <c r="F285" s="85"/>
      <c r="G285" s="16"/>
      <c r="H285" s="13"/>
      <c r="I285" s="13"/>
      <c r="J285" s="13"/>
      <c r="K285" s="12"/>
      <c r="L285" s="16"/>
      <c r="M285" s="16"/>
      <c r="N285" s="106"/>
      <c r="O285" s="12"/>
      <c r="P285" s="106"/>
      <c r="Q285" s="12"/>
      <c r="R285" s="16"/>
      <c r="S285" s="12"/>
      <c r="T285" s="16"/>
      <c r="U285" s="16"/>
    </row>
    <row r="286" spans="1:21" x14ac:dyDescent="0.25">
      <c r="A286" s="14"/>
      <c r="B286" s="12"/>
      <c r="C286" s="12"/>
      <c r="D286" s="16"/>
      <c r="E286" s="16"/>
      <c r="F286" s="85"/>
      <c r="G286" s="16"/>
      <c r="H286" s="13"/>
      <c r="I286" s="13"/>
      <c r="J286" s="13"/>
      <c r="K286" s="12"/>
      <c r="L286" s="16"/>
      <c r="M286" s="16"/>
      <c r="N286" s="106"/>
      <c r="O286" s="12"/>
      <c r="P286" s="106"/>
      <c r="Q286" s="12"/>
      <c r="R286" s="16"/>
      <c r="S286" s="12"/>
      <c r="T286" s="16"/>
      <c r="U286" s="16"/>
    </row>
    <row r="287" spans="1:21" x14ac:dyDescent="0.25">
      <c r="A287" s="14"/>
      <c r="B287" s="12"/>
      <c r="C287" s="12"/>
      <c r="D287" s="16"/>
      <c r="E287" s="16"/>
      <c r="F287" s="16"/>
      <c r="G287" s="16"/>
      <c r="H287" s="13"/>
      <c r="I287" s="13"/>
      <c r="J287" s="13"/>
      <c r="K287" s="12"/>
      <c r="L287" s="16"/>
      <c r="M287" s="16"/>
      <c r="N287" s="106"/>
      <c r="O287" s="12"/>
      <c r="P287" s="106"/>
      <c r="Q287" s="12"/>
      <c r="R287" s="16"/>
      <c r="S287" s="12"/>
      <c r="T287" s="16"/>
      <c r="U287" s="16"/>
    </row>
    <row r="288" spans="1:21" x14ac:dyDescent="0.25">
      <c r="A288" s="14"/>
      <c r="B288" s="12"/>
      <c r="C288" s="12"/>
      <c r="D288" s="16"/>
      <c r="E288" s="16"/>
      <c r="F288" s="16"/>
      <c r="G288" s="16"/>
      <c r="H288" s="13"/>
      <c r="I288" s="13"/>
      <c r="J288" s="13"/>
      <c r="K288" s="12"/>
      <c r="L288" s="16"/>
      <c r="M288" s="16"/>
      <c r="N288" s="106"/>
      <c r="O288" s="12"/>
      <c r="P288" s="106"/>
      <c r="Q288" s="12"/>
      <c r="R288" s="16"/>
      <c r="S288" s="12"/>
      <c r="T288" s="16"/>
      <c r="U288" s="16"/>
    </row>
    <row r="289" spans="1:21" x14ac:dyDescent="0.25">
      <c r="A289" s="14"/>
      <c r="B289" s="12"/>
      <c r="C289" s="12"/>
      <c r="D289" s="16"/>
      <c r="E289" s="16"/>
      <c r="F289" s="16"/>
      <c r="G289" s="16"/>
      <c r="H289" s="13"/>
      <c r="I289" s="13"/>
      <c r="J289" s="13"/>
      <c r="K289" s="12"/>
      <c r="L289" s="16"/>
      <c r="M289" s="16"/>
      <c r="N289" s="106"/>
      <c r="O289" s="12"/>
      <c r="P289" s="106"/>
      <c r="Q289" s="12"/>
      <c r="R289" s="16"/>
      <c r="S289" s="12"/>
      <c r="T289" s="16"/>
      <c r="U289" s="16"/>
    </row>
    <row r="290" spans="1:21" x14ac:dyDescent="0.25">
      <c r="A290" s="14"/>
      <c r="B290" s="12"/>
      <c r="C290" s="12"/>
      <c r="D290" s="16"/>
      <c r="E290" s="16"/>
      <c r="F290" s="16"/>
      <c r="G290" s="16"/>
      <c r="H290" s="13"/>
      <c r="I290" s="13"/>
      <c r="J290" s="13"/>
      <c r="K290" s="12"/>
      <c r="L290" s="16"/>
      <c r="M290" s="16"/>
      <c r="N290" s="106"/>
      <c r="O290" s="12"/>
      <c r="P290" s="106"/>
      <c r="Q290" s="12"/>
      <c r="R290" s="16"/>
      <c r="S290" s="12"/>
      <c r="T290" s="16"/>
      <c r="U290" s="16"/>
    </row>
    <row r="291" spans="1:21" x14ac:dyDescent="0.25">
      <c r="A291" s="14"/>
      <c r="B291" s="12"/>
      <c r="C291" s="12"/>
      <c r="D291" s="16"/>
      <c r="E291" s="16"/>
      <c r="F291" s="16"/>
      <c r="G291" s="16"/>
      <c r="H291" s="13"/>
      <c r="I291" s="13"/>
      <c r="J291" s="13"/>
      <c r="K291" s="12"/>
      <c r="L291" s="16"/>
      <c r="M291" s="16"/>
      <c r="N291" s="106"/>
      <c r="O291" s="12"/>
      <c r="P291" s="106"/>
      <c r="Q291" s="12"/>
      <c r="R291" s="16"/>
      <c r="S291" s="12"/>
      <c r="T291" s="16"/>
      <c r="U291" s="16"/>
    </row>
    <row r="292" spans="1:21" x14ac:dyDescent="0.25">
      <c r="A292" s="14"/>
      <c r="B292" s="12"/>
      <c r="C292" s="12"/>
      <c r="D292" s="16"/>
      <c r="E292" s="16"/>
      <c r="F292" s="16"/>
      <c r="G292" s="16"/>
      <c r="H292" s="13"/>
      <c r="I292" s="13"/>
      <c r="J292" s="13"/>
      <c r="K292" s="12"/>
      <c r="L292" s="16"/>
      <c r="M292" s="16"/>
      <c r="N292" s="106"/>
      <c r="O292" s="12"/>
      <c r="P292" s="106"/>
      <c r="Q292" s="12"/>
      <c r="R292" s="16"/>
      <c r="S292" s="12"/>
      <c r="T292" s="16"/>
      <c r="U292" s="16"/>
    </row>
    <row r="293" spans="1:21" x14ac:dyDescent="0.25">
      <c r="A293" s="14"/>
      <c r="B293" s="12"/>
      <c r="C293" s="12"/>
      <c r="D293" s="16"/>
      <c r="E293" s="16"/>
      <c r="F293" s="16"/>
      <c r="G293" s="16"/>
      <c r="H293" s="13"/>
      <c r="I293" s="13"/>
      <c r="J293" s="13"/>
      <c r="K293" s="12"/>
      <c r="L293" s="16"/>
      <c r="M293" s="16"/>
      <c r="N293" s="106"/>
      <c r="O293" s="12"/>
      <c r="P293" s="106"/>
      <c r="Q293" s="12"/>
      <c r="R293" s="16"/>
      <c r="S293" s="12"/>
      <c r="T293" s="16"/>
      <c r="U293" s="16"/>
    </row>
    <row r="294" spans="1:21" x14ac:dyDescent="0.25">
      <c r="A294" s="14"/>
      <c r="B294" s="12"/>
      <c r="C294" s="12"/>
      <c r="D294" s="16"/>
      <c r="E294" s="16"/>
      <c r="F294" s="16"/>
      <c r="G294" s="16"/>
      <c r="H294" s="13"/>
      <c r="I294" s="13"/>
      <c r="J294" s="13"/>
      <c r="K294" s="12"/>
      <c r="L294" s="16"/>
      <c r="M294" s="16"/>
      <c r="N294" s="106"/>
      <c r="O294" s="12"/>
      <c r="P294" s="106"/>
      <c r="Q294" s="12"/>
      <c r="R294" s="16"/>
      <c r="S294" s="12"/>
      <c r="T294" s="16"/>
      <c r="U294" s="16"/>
    </row>
    <row r="295" spans="1:21" x14ac:dyDescent="0.25">
      <c r="A295" s="14"/>
      <c r="B295" s="12"/>
      <c r="C295" s="12"/>
      <c r="D295" s="16"/>
      <c r="E295" s="16"/>
      <c r="F295" s="16"/>
      <c r="G295" s="16"/>
      <c r="H295" s="13"/>
      <c r="I295" s="13"/>
      <c r="J295" s="13"/>
      <c r="K295" s="12"/>
      <c r="L295" s="16"/>
      <c r="M295" s="16"/>
      <c r="N295" s="106"/>
      <c r="O295" s="12"/>
      <c r="P295" s="106"/>
      <c r="Q295" s="12"/>
      <c r="R295" s="16"/>
      <c r="S295" s="12"/>
      <c r="T295" s="16"/>
      <c r="U295" s="16"/>
    </row>
    <row r="296" spans="1:21" x14ac:dyDescent="0.25">
      <c r="A296" s="14"/>
      <c r="B296" s="12"/>
      <c r="C296" s="12"/>
      <c r="D296" s="16"/>
      <c r="E296" s="16"/>
      <c r="F296" s="16"/>
      <c r="G296" s="16"/>
      <c r="H296" s="13"/>
      <c r="I296" s="13"/>
      <c r="J296" s="13"/>
      <c r="K296" s="12"/>
      <c r="L296" s="16"/>
      <c r="M296" s="16"/>
      <c r="N296" s="106"/>
      <c r="O296" s="12"/>
      <c r="P296" s="106"/>
      <c r="Q296" s="12"/>
      <c r="R296" s="16"/>
      <c r="S296" s="12"/>
      <c r="T296" s="16"/>
      <c r="U296" s="16"/>
    </row>
    <row r="297" spans="1:21" x14ac:dyDescent="0.25">
      <c r="A297" s="14"/>
      <c r="B297" s="12"/>
      <c r="C297" s="12"/>
      <c r="D297" s="16"/>
      <c r="E297" s="16"/>
      <c r="F297" s="16"/>
      <c r="G297" s="16"/>
      <c r="H297" s="13"/>
      <c r="I297" s="13"/>
      <c r="J297" s="13"/>
      <c r="K297" s="12"/>
      <c r="L297" s="16"/>
      <c r="M297" s="16"/>
      <c r="N297" s="106"/>
      <c r="O297" s="12"/>
      <c r="P297" s="106"/>
      <c r="Q297" s="12"/>
      <c r="R297" s="16"/>
      <c r="S297" s="12"/>
      <c r="T297" s="16"/>
      <c r="U297" s="16"/>
    </row>
    <row r="298" spans="1:21" x14ac:dyDescent="0.25">
      <c r="A298" s="14"/>
      <c r="B298" s="12"/>
      <c r="C298" s="12"/>
      <c r="D298" s="16"/>
      <c r="E298" s="16"/>
      <c r="F298" s="16"/>
      <c r="G298" s="16"/>
      <c r="H298" s="13"/>
      <c r="I298" s="13"/>
      <c r="J298" s="13"/>
      <c r="K298" s="12"/>
      <c r="L298" s="16"/>
      <c r="M298" s="16"/>
      <c r="N298" s="106"/>
      <c r="O298" s="12"/>
      <c r="P298" s="106"/>
      <c r="Q298" s="12"/>
      <c r="R298" s="16"/>
      <c r="S298" s="12"/>
      <c r="T298" s="16"/>
      <c r="U298" s="16"/>
    </row>
    <row r="299" spans="1:21" x14ac:dyDescent="0.25">
      <c r="A299" s="14"/>
      <c r="B299" s="12"/>
      <c r="C299" s="12"/>
      <c r="D299" s="16"/>
      <c r="E299" s="16"/>
      <c r="F299" s="16"/>
      <c r="G299" s="16"/>
      <c r="H299" s="13"/>
      <c r="I299" s="13"/>
      <c r="J299" s="13"/>
      <c r="K299" s="12"/>
      <c r="L299" s="16"/>
      <c r="M299" s="16"/>
      <c r="N299" s="106"/>
      <c r="O299" s="12"/>
      <c r="P299" s="106"/>
      <c r="Q299" s="12"/>
      <c r="R299" s="16"/>
      <c r="S299" s="12"/>
      <c r="T299" s="16"/>
      <c r="U299" s="16"/>
    </row>
    <row r="300" spans="1:21" x14ac:dyDescent="0.25">
      <c r="A300" s="14"/>
      <c r="B300" s="12"/>
      <c r="C300" s="12"/>
      <c r="D300" s="16"/>
      <c r="E300" s="16"/>
      <c r="F300" s="16"/>
      <c r="G300" s="16"/>
      <c r="H300" s="13"/>
      <c r="I300" s="13"/>
      <c r="J300" s="13"/>
      <c r="K300" s="12"/>
      <c r="L300" s="16"/>
      <c r="M300" s="16"/>
      <c r="N300" s="106"/>
      <c r="O300" s="12"/>
      <c r="P300" s="106"/>
      <c r="Q300" s="12"/>
      <c r="R300" s="16"/>
      <c r="S300" s="12"/>
      <c r="T300" s="16"/>
      <c r="U300" s="16"/>
    </row>
    <row r="301" spans="1:21" x14ac:dyDescent="0.25">
      <c r="A301" s="14"/>
      <c r="B301" s="12"/>
      <c r="C301" s="12"/>
      <c r="D301" s="16"/>
      <c r="E301" s="16"/>
      <c r="F301" s="16"/>
      <c r="G301" s="16"/>
      <c r="H301" s="13"/>
      <c r="I301" s="13"/>
      <c r="J301" s="13"/>
      <c r="K301" s="12"/>
      <c r="L301" s="16"/>
      <c r="M301" s="16"/>
      <c r="N301" s="106"/>
      <c r="O301" s="12"/>
      <c r="P301" s="106"/>
      <c r="Q301" s="12"/>
      <c r="R301" s="16"/>
      <c r="S301" s="12"/>
      <c r="T301" s="16"/>
      <c r="U301" s="16"/>
    </row>
    <row r="302" spans="1:21" x14ac:dyDescent="0.25">
      <c r="A302" s="14"/>
      <c r="B302" s="12"/>
      <c r="C302" s="12"/>
      <c r="D302" s="16"/>
      <c r="E302" s="16"/>
      <c r="F302" s="16"/>
      <c r="G302" s="16"/>
      <c r="H302" s="13"/>
      <c r="I302" s="13"/>
      <c r="J302" s="13"/>
      <c r="K302" s="12"/>
      <c r="L302" s="16"/>
      <c r="M302" s="16"/>
      <c r="N302" s="106"/>
      <c r="O302" s="12"/>
      <c r="P302" s="106"/>
      <c r="Q302" s="12"/>
      <c r="R302" s="16"/>
      <c r="S302" s="12"/>
      <c r="T302" s="16"/>
      <c r="U302" s="16"/>
    </row>
    <row r="303" spans="1:21" x14ac:dyDescent="0.25">
      <c r="A303" s="14"/>
      <c r="B303" s="12"/>
      <c r="C303" s="12"/>
      <c r="D303" s="16"/>
      <c r="E303" s="16"/>
      <c r="F303" s="16"/>
      <c r="G303" s="16"/>
      <c r="H303" s="13"/>
      <c r="I303" s="13"/>
      <c r="J303" s="13"/>
      <c r="K303" s="12"/>
      <c r="L303" s="16"/>
      <c r="M303" s="16"/>
      <c r="N303" s="106"/>
      <c r="O303" s="12"/>
      <c r="P303" s="106"/>
      <c r="Q303" s="12"/>
      <c r="R303" s="16"/>
      <c r="S303" s="12"/>
      <c r="T303" s="16"/>
      <c r="U303" s="16"/>
    </row>
    <row r="304" spans="1:21" x14ac:dyDescent="0.25">
      <c r="A304" s="14"/>
      <c r="B304" s="12"/>
      <c r="C304" s="12"/>
      <c r="D304" s="16"/>
      <c r="E304" s="16"/>
      <c r="F304" s="16"/>
      <c r="G304" s="16"/>
      <c r="H304" s="13"/>
      <c r="I304" s="13"/>
      <c r="J304" s="13"/>
      <c r="K304" s="12"/>
      <c r="L304" s="16"/>
      <c r="M304" s="16"/>
      <c r="N304" s="106"/>
      <c r="O304" s="12"/>
      <c r="P304" s="106"/>
      <c r="Q304" s="12"/>
      <c r="R304" s="16"/>
      <c r="S304" s="12"/>
      <c r="T304" s="16"/>
      <c r="U304" s="16"/>
    </row>
    <row r="305" spans="1:21" x14ac:dyDescent="0.25">
      <c r="A305" s="14"/>
      <c r="B305" s="12"/>
      <c r="C305" s="12"/>
      <c r="D305" s="16"/>
      <c r="E305" s="16"/>
      <c r="F305" s="16"/>
      <c r="G305" s="16"/>
      <c r="H305" s="13"/>
      <c r="I305" s="13"/>
      <c r="J305" s="13"/>
      <c r="K305" s="12"/>
      <c r="L305" s="16"/>
      <c r="M305" s="16"/>
      <c r="N305" s="106"/>
      <c r="O305" s="12"/>
      <c r="P305" s="106"/>
      <c r="Q305" s="12"/>
      <c r="R305" s="16"/>
      <c r="S305" s="12"/>
      <c r="T305" s="16"/>
      <c r="U305" s="16"/>
    </row>
    <row r="306" spans="1:21" x14ac:dyDescent="0.25">
      <c r="A306" s="14"/>
      <c r="B306" s="12"/>
      <c r="C306" s="12"/>
      <c r="D306" s="16"/>
      <c r="E306" s="16"/>
      <c r="F306" s="16"/>
      <c r="G306" s="16"/>
      <c r="H306" s="13"/>
      <c r="I306" s="13"/>
      <c r="J306" s="13"/>
      <c r="K306" s="12"/>
      <c r="L306" s="16"/>
      <c r="M306" s="16"/>
      <c r="N306" s="106"/>
      <c r="O306" s="12"/>
      <c r="P306" s="106"/>
      <c r="Q306" s="12"/>
      <c r="R306" s="16"/>
      <c r="S306" s="12"/>
      <c r="T306" s="16"/>
      <c r="U306" s="16"/>
    </row>
    <row r="307" spans="1:21" x14ac:dyDescent="0.25">
      <c r="A307" s="14"/>
      <c r="B307" s="12"/>
      <c r="C307" s="12"/>
      <c r="D307" s="16"/>
      <c r="E307" s="16"/>
      <c r="F307" s="16"/>
      <c r="G307" s="16"/>
      <c r="H307" s="13"/>
      <c r="I307" s="13"/>
      <c r="J307" s="13"/>
      <c r="K307" s="12"/>
      <c r="L307" s="16"/>
      <c r="M307" s="16"/>
      <c r="N307" s="106"/>
      <c r="O307" s="12"/>
      <c r="P307" s="106"/>
      <c r="Q307" s="12"/>
      <c r="R307" s="16"/>
      <c r="S307" s="12"/>
      <c r="T307" s="16"/>
      <c r="U307" s="16"/>
    </row>
    <row r="308" spans="1:21" x14ac:dyDescent="0.25">
      <c r="A308" s="14"/>
      <c r="B308" s="12"/>
      <c r="C308" s="12"/>
      <c r="D308" s="16"/>
      <c r="E308" s="16"/>
      <c r="F308" s="16"/>
      <c r="G308" s="16"/>
      <c r="H308" s="13"/>
      <c r="I308" s="13"/>
      <c r="J308" s="13"/>
      <c r="K308" s="12"/>
      <c r="L308" s="16"/>
      <c r="M308" s="16"/>
      <c r="N308" s="106"/>
      <c r="O308" s="12"/>
      <c r="P308" s="106"/>
      <c r="Q308" s="12"/>
      <c r="R308" s="16"/>
      <c r="S308" s="12"/>
      <c r="T308" s="16"/>
      <c r="U308" s="16"/>
    </row>
    <row r="309" spans="1:21" x14ac:dyDescent="0.25">
      <c r="A309" s="14"/>
      <c r="B309" s="12"/>
      <c r="C309" s="12"/>
      <c r="D309" s="16"/>
      <c r="E309" s="16"/>
      <c r="F309" s="16"/>
      <c r="G309" s="16"/>
      <c r="H309" s="13"/>
      <c r="I309" s="13"/>
      <c r="J309" s="13"/>
      <c r="K309" s="12"/>
      <c r="L309" s="16"/>
      <c r="M309" s="16"/>
      <c r="N309" s="106"/>
      <c r="O309" s="12"/>
      <c r="P309" s="106"/>
      <c r="Q309" s="12"/>
      <c r="R309" s="16"/>
      <c r="S309" s="12"/>
      <c r="T309" s="16"/>
      <c r="U309" s="16"/>
    </row>
    <row r="310" spans="1:21" x14ac:dyDescent="0.25">
      <c r="A310" s="14"/>
      <c r="B310" s="12"/>
      <c r="C310" s="12"/>
      <c r="D310" s="16"/>
      <c r="E310" s="16"/>
      <c r="F310" s="16"/>
      <c r="G310" s="16"/>
      <c r="H310" s="13"/>
      <c r="I310" s="13"/>
      <c r="J310" s="13"/>
      <c r="K310" s="12"/>
      <c r="L310" s="16"/>
      <c r="M310" s="16"/>
      <c r="N310" s="106"/>
      <c r="O310" s="12"/>
      <c r="P310" s="106"/>
      <c r="Q310" s="12"/>
      <c r="R310" s="16"/>
      <c r="S310" s="12"/>
      <c r="T310" s="16"/>
      <c r="U310" s="16"/>
    </row>
    <row r="311" spans="1:21" x14ac:dyDescent="0.25">
      <c r="A311" s="14"/>
      <c r="B311" s="12"/>
      <c r="C311" s="12"/>
      <c r="D311" s="16"/>
      <c r="E311" s="16"/>
      <c r="F311" s="16"/>
      <c r="G311" s="16"/>
      <c r="H311" s="13"/>
      <c r="I311" s="13"/>
      <c r="J311" s="13"/>
      <c r="K311" s="12"/>
      <c r="L311" s="16"/>
      <c r="M311" s="16"/>
      <c r="N311" s="106"/>
      <c r="O311" s="12"/>
      <c r="P311" s="106"/>
      <c r="Q311" s="12"/>
      <c r="R311" s="16"/>
      <c r="S311" s="12"/>
      <c r="T311" s="16"/>
      <c r="U311" s="16"/>
    </row>
    <row r="312" spans="1:21" x14ac:dyDescent="0.25">
      <c r="A312" s="14"/>
      <c r="B312" s="12"/>
      <c r="C312" s="12"/>
      <c r="D312" s="16"/>
      <c r="E312" s="16"/>
      <c r="F312" s="16"/>
      <c r="G312" s="16"/>
      <c r="H312" s="13"/>
      <c r="I312" s="13"/>
      <c r="J312" s="13"/>
      <c r="K312" s="12"/>
      <c r="L312" s="16"/>
      <c r="M312" s="16"/>
      <c r="N312" s="106"/>
      <c r="O312" s="12"/>
      <c r="P312" s="106"/>
      <c r="Q312" s="12"/>
      <c r="R312" s="16"/>
      <c r="S312" s="12"/>
      <c r="T312" s="16"/>
      <c r="U312" s="16"/>
    </row>
    <row r="313" spans="1:21" x14ac:dyDescent="0.25">
      <c r="A313" s="14"/>
      <c r="B313" s="12"/>
      <c r="C313" s="12"/>
      <c r="D313" s="16"/>
      <c r="E313" s="16"/>
      <c r="F313" s="16"/>
      <c r="G313" s="16"/>
      <c r="H313" s="13"/>
      <c r="I313" s="13"/>
      <c r="J313" s="13"/>
      <c r="K313" s="12"/>
      <c r="L313" s="16"/>
      <c r="M313" s="16"/>
      <c r="N313" s="106"/>
      <c r="O313" s="12"/>
      <c r="P313" s="106"/>
      <c r="Q313" s="12"/>
      <c r="R313" s="16"/>
      <c r="S313" s="12"/>
      <c r="T313" s="16"/>
      <c r="U313" s="16"/>
    </row>
    <row r="314" spans="1:21" x14ac:dyDescent="0.25">
      <c r="A314" s="14"/>
      <c r="B314" s="12"/>
      <c r="C314" s="12"/>
      <c r="D314" s="16"/>
      <c r="E314" s="16"/>
      <c r="F314" s="16"/>
      <c r="G314" s="16"/>
      <c r="H314" s="13"/>
      <c r="I314" s="13"/>
      <c r="J314" s="13"/>
      <c r="K314" s="12"/>
      <c r="L314" s="16"/>
      <c r="M314" s="16"/>
      <c r="N314" s="106"/>
      <c r="O314" s="12"/>
      <c r="P314" s="106"/>
      <c r="Q314" s="12"/>
      <c r="R314" s="16"/>
      <c r="S314" s="12"/>
      <c r="T314" s="16"/>
      <c r="U314" s="16"/>
    </row>
    <row r="315" spans="1:21" x14ac:dyDescent="0.25">
      <c r="A315" s="14"/>
      <c r="B315" s="12"/>
      <c r="C315" s="12"/>
      <c r="D315" s="16"/>
      <c r="E315" s="16"/>
      <c r="F315" s="16"/>
      <c r="G315" s="16"/>
      <c r="H315" s="13"/>
      <c r="I315" s="13"/>
      <c r="J315" s="13"/>
      <c r="K315" s="12"/>
      <c r="L315" s="16"/>
      <c r="M315" s="16"/>
      <c r="N315" s="106"/>
      <c r="O315" s="12"/>
      <c r="P315" s="106"/>
      <c r="Q315" s="12"/>
      <c r="R315" s="16"/>
      <c r="S315" s="12"/>
      <c r="T315" s="16"/>
      <c r="U315" s="16"/>
    </row>
    <row r="316" spans="1:21" x14ac:dyDescent="0.25">
      <c r="A316" s="14"/>
      <c r="B316" s="12"/>
      <c r="C316" s="12"/>
      <c r="D316" s="16"/>
      <c r="E316" s="16"/>
      <c r="F316" s="16"/>
      <c r="G316" s="16"/>
      <c r="H316" s="13"/>
      <c r="I316" s="13"/>
      <c r="J316" s="13"/>
      <c r="K316" s="12"/>
      <c r="L316" s="16"/>
      <c r="M316" s="16"/>
      <c r="N316" s="106"/>
      <c r="O316" s="12"/>
      <c r="P316" s="106"/>
      <c r="Q316" s="12"/>
      <c r="R316" s="16"/>
      <c r="S316" s="12"/>
      <c r="T316" s="16"/>
      <c r="U316" s="16"/>
    </row>
    <row r="317" spans="1:21" x14ac:dyDescent="0.25">
      <c r="A317" s="14"/>
      <c r="B317" s="12"/>
      <c r="C317" s="12"/>
      <c r="D317" s="16"/>
      <c r="E317" s="16"/>
      <c r="F317" s="16"/>
      <c r="G317" s="16"/>
      <c r="H317" s="13"/>
      <c r="I317" s="13"/>
      <c r="J317" s="13"/>
      <c r="K317" s="12"/>
      <c r="L317" s="16"/>
      <c r="M317" s="16"/>
      <c r="N317" s="106"/>
      <c r="O317" s="12"/>
      <c r="P317" s="106"/>
      <c r="Q317" s="12"/>
      <c r="R317" s="16"/>
      <c r="S317" s="12"/>
      <c r="T317" s="16"/>
      <c r="U317" s="16"/>
    </row>
    <row r="318" spans="1:21" x14ac:dyDescent="0.25">
      <c r="A318" s="14"/>
      <c r="B318" s="12"/>
      <c r="C318" s="12"/>
      <c r="D318" s="16"/>
      <c r="E318" s="16"/>
      <c r="F318" s="16"/>
      <c r="G318" s="16"/>
      <c r="H318" s="13"/>
      <c r="I318" s="13"/>
      <c r="J318" s="13"/>
      <c r="K318" s="12"/>
      <c r="L318" s="16"/>
      <c r="M318" s="16"/>
      <c r="N318" s="106"/>
      <c r="O318" s="12"/>
      <c r="P318" s="106"/>
      <c r="Q318" s="12"/>
      <c r="R318" s="16"/>
      <c r="S318" s="12"/>
      <c r="T318" s="16"/>
      <c r="U318" s="16"/>
    </row>
    <row r="319" spans="1:21" x14ac:dyDescent="0.25">
      <c r="A319" s="14"/>
      <c r="B319" s="12"/>
      <c r="C319" s="12"/>
      <c r="D319" s="16"/>
      <c r="E319" s="16"/>
      <c r="F319" s="16"/>
      <c r="G319" s="16"/>
      <c r="H319" s="13"/>
      <c r="I319" s="13"/>
      <c r="J319" s="13"/>
      <c r="K319" s="12"/>
      <c r="L319" s="16"/>
      <c r="M319" s="16"/>
      <c r="N319" s="106"/>
      <c r="O319" s="12"/>
      <c r="P319" s="106"/>
      <c r="Q319" s="12"/>
      <c r="R319" s="16"/>
      <c r="S319" s="12"/>
      <c r="T319" s="16"/>
      <c r="U319" s="16"/>
    </row>
    <row r="320" spans="1:21" x14ac:dyDescent="0.25">
      <c r="A320" s="14"/>
      <c r="B320" s="12"/>
      <c r="C320" s="12"/>
      <c r="D320" s="16"/>
      <c r="E320" s="16"/>
      <c r="F320" s="16"/>
      <c r="G320" s="16"/>
      <c r="H320" s="13"/>
      <c r="I320" s="13"/>
      <c r="J320" s="13"/>
      <c r="K320" s="12"/>
      <c r="L320" s="16"/>
      <c r="M320" s="16"/>
      <c r="N320" s="106"/>
      <c r="O320" s="12"/>
      <c r="P320" s="106"/>
      <c r="Q320" s="12"/>
      <c r="R320" s="16"/>
      <c r="S320" s="12"/>
      <c r="T320" s="16"/>
      <c r="U320" s="16"/>
    </row>
    <row r="321" spans="1:21" x14ac:dyDescent="0.25">
      <c r="A321" s="14"/>
      <c r="B321" s="12"/>
      <c r="C321" s="12"/>
      <c r="D321" s="16"/>
      <c r="E321" s="16"/>
      <c r="F321" s="16"/>
      <c r="G321" s="16"/>
      <c r="H321" s="13"/>
      <c r="I321" s="13"/>
      <c r="J321" s="13"/>
      <c r="K321" s="12"/>
      <c r="L321" s="16"/>
      <c r="M321" s="16"/>
      <c r="N321" s="106"/>
      <c r="O321" s="12"/>
      <c r="P321" s="106"/>
      <c r="Q321" s="12"/>
      <c r="R321" s="16"/>
      <c r="S321" s="12"/>
      <c r="T321" s="16"/>
      <c r="U321" s="16"/>
    </row>
    <row r="322" spans="1:21" x14ac:dyDescent="0.25">
      <c r="A322" s="14"/>
      <c r="B322" s="12"/>
      <c r="C322" s="12"/>
      <c r="D322" s="16"/>
      <c r="E322" s="16"/>
      <c r="F322" s="16"/>
      <c r="G322" s="16"/>
      <c r="H322" s="13"/>
      <c r="I322" s="13"/>
      <c r="J322" s="13"/>
      <c r="K322" s="12"/>
      <c r="L322" s="16"/>
      <c r="M322" s="16"/>
      <c r="N322" s="106"/>
      <c r="O322" s="12"/>
      <c r="P322" s="106"/>
      <c r="Q322" s="12"/>
      <c r="R322" s="16"/>
      <c r="S322" s="12"/>
      <c r="T322" s="16"/>
      <c r="U322" s="16"/>
    </row>
    <row r="323" spans="1:21" x14ac:dyDescent="0.25">
      <c r="A323" s="14"/>
      <c r="B323" s="12"/>
      <c r="C323" s="12"/>
      <c r="D323" s="16"/>
      <c r="E323" s="16"/>
      <c r="F323" s="16"/>
      <c r="G323" s="16"/>
      <c r="H323" s="13"/>
      <c r="I323" s="13"/>
      <c r="J323" s="13"/>
      <c r="K323" s="12"/>
      <c r="L323" s="16"/>
      <c r="M323" s="16"/>
      <c r="N323" s="106"/>
      <c r="O323" s="12"/>
      <c r="P323" s="106"/>
      <c r="Q323" s="12"/>
      <c r="R323" s="16"/>
      <c r="S323" s="12"/>
      <c r="T323" s="16"/>
      <c r="U323" s="16"/>
    </row>
    <row r="324" spans="1:21" x14ac:dyDescent="0.25">
      <c r="A324" s="14"/>
      <c r="B324" s="12"/>
      <c r="C324" s="12"/>
      <c r="D324" s="16"/>
      <c r="E324" s="16"/>
      <c r="F324" s="16"/>
      <c r="G324" s="16"/>
      <c r="H324" s="13"/>
      <c r="I324" s="13"/>
      <c r="J324" s="13"/>
      <c r="K324" s="12"/>
      <c r="L324" s="16"/>
      <c r="M324" s="16"/>
      <c r="N324" s="106"/>
      <c r="O324" s="12"/>
      <c r="P324" s="106"/>
      <c r="Q324" s="12"/>
      <c r="R324" s="16"/>
      <c r="S324" s="12"/>
      <c r="T324" s="16"/>
      <c r="U324" s="16"/>
    </row>
    <row r="325" spans="1:21" x14ac:dyDescent="0.25">
      <c r="A325" s="14"/>
      <c r="B325" s="12"/>
      <c r="C325" s="12"/>
      <c r="D325" s="16"/>
      <c r="E325" s="16"/>
      <c r="F325" s="16"/>
      <c r="G325" s="16"/>
      <c r="H325" s="13"/>
      <c r="I325" s="13"/>
      <c r="J325" s="13"/>
      <c r="K325" s="12"/>
      <c r="L325" s="16"/>
      <c r="M325" s="16"/>
      <c r="N325" s="106"/>
      <c r="O325" s="12"/>
      <c r="P325" s="106"/>
      <c r="Q325" s="12"/>
      <c r="R325" s="16"/>
      <c r="S325" s="12"/>
      <c r="T325" s="16"/>
      <c r="U325" s="16"/>
    </row>
    <row r="326" spans="1:21" x14ac:dyDescent="0.25">
      <c r="A326" s="14"/>
      <c r="B326" s="12"/>
      <c r="C326" s="12"/>
      <c r="D326" s="16"/>
      <c r="E326" s="16"/>
      <c r="F326" s="16"/>
      <c r="G326" s="16"/>
      <c r="H326" s="13"/>
      <c r="I326" s="13"/>
      <c r="J326" s="13"/>
      <c r="K326" s="12"/>
      <c r="L326" s="16"/>
      <c r="M326" s="16"/>
      <c r="N326" s="106"/>
      <c r="O326" s="12"/>
      <c r="P326" s="106"/>
      <c r="Q326" s="12"/>
      <c r="R326" s="16"/>
      <c r="S326" s="12"/>
      <c r="T326" s="16"/>
      <c r="U326" s="16"/>
    </row>
    <row r="327" spans="1:21" x14ac:dyDescent="0.25">
      <c r="A327" s="14"/>
      <c r="B327" s="12"/>
      <c r="C327" s="12"/>
      <c r="D327" s="16"/>
      <c r="E327" s="16"/>
      <c r="F327" s="16"/>
      <c r="G327" s="16"/>
      <c r="H327" s="13"/>
      <c r="I327" s="13"/>
      <c r="J327" s="13"/>
      <c r="K327" s="12"/>
      <c r="L327" s="16"/>
      <c r="M327" s="16"/>
      <c r="N327" s="106"/>
      <c r="O327" s="12"/>
      <c r="P327" s="106"/>
      <c r="Q327" s="12"/>
      <c r="R327" s="16"/>
      <c r="S327" s="12"/>
      <c r="T327" s="16"/>
      <c r="U327" s="16"/>
    </row>
    <row r="328" spans="1:21" x14ac:dyDescent="0.25">
      <c r="A328" s="14"/>
      <c r="B328" s="12"/>
      <c r="C328" s="12"/>
      <c r="D328" s="16"/>
      <c r="E328" s="16"/>
      <c r="F328" s="16"/>
      <c r="G328" s="16"/>
      <c r="H328" s="13"/>
      <c r="I328" s="13"/>
      <c r="J328" s="13"/>
      <c r="K328" s="12"/>
      <c r="L328" s="16"/>
      <c r="M328" s="16"/>
      <c r="N328" s="106"/>
      <c r="O328" s="12"/>
      <c r="P328" s="106"/>
      <c r="Q328" s="12"/>
      <c r="R328" s="16"/>
      <c r="S328" s="12"/>
      <c r="T328" s="16"/>
      <c r="U328" s="16"/>
    </row>
    <row r="329" spans="1:21" x14ac:dyDescent="0.25">
      <c r="A329" s="14"/>
      <c r="B329" s="12"/>
      <c r="C329" s="12"/>
      <c r="D329" s="16"/>
      <c r="E329" s="16"/>
      <c r="F329" s="16"/>
      <c r="G329" s="16"/>
      <c r="H329" s="13"/>
      <c r="I329" s="13"/>
      <c r="J329" s="13"/>
      <c r="K329" s="12"/>
      <c r="L329" s="16"/>
      <c r="M329" s="16"/>
      <c r="N329" s="106"/>
      <c r="O329" s="12"/>
      <c r="P329" s="106"/>
      <c r="Q329" s="12"/>
      <c r="R329" s="16"/>
      <c r="S329" s="12"/>
      <c r="T329" s="16"/>
      <c r="U329" s="16"/>
    </row>
    <row r="330" spans="1:21" x14ac:dyDescent="0.25">
      <c r="A330" s="14"/>
      <c r="B330" s="12"/>
      <c r="C330" s="12"/>
      <c r="D330" s="16"/>
      <c r="E330" s="16"/>
      <c r="F330" s="16"/>
      <c r="G330" s="16"/>
      <c r="H330" s="13"/>
      <c r="I330" s="13"/>
      <c r="J330" s="13"/>
      <c r="K330" s="12"/>
      <c r="L330" s="16"/>
      <c r="M330" s="16"/>
      <c r="N330" s="106"/>
      <c r="O330" s="12"/>
      <c r="P330" s="106"/>
      <c r="Q330" s="12"/>
      <c r="R330" s="16"/>
      <c r="S330" s="12"/>
      <c r="T330" s="16"/>
      <c r="U330" s="16"/>
    </row>
    <row r="331" spans="1:21" x14ac:dyDescent="0.25">
      <c r="A331" s="14"/>
      <c r="B331" s="12"/>
      <c r="C331" s="12"/>
      <c r="D331" s="16"/>
      <c r="E331" s="16"/>
      <c r="F331" s="16"/>
      <c r="G331" s="16"/>
      <c r="H331" s="13"/>
      <c r="I331" s="13"/>
      <c r="J331" s="13"/>
      <c r="K331" s="12"/>
      <c r="L331" s="16"/>
      <c r="M331" s="16"/>
      <c r="N331" s="106"/>
      <c r="O331" s="12"/>
      <c r="P331" s="106"/>
      <c r="Q331" s="12"/>
      <c r="R331" s="16"/>
      <c r="S331" s="12"/>
      <c r="T331" s="16"/>
      <c r="U331" s="16"/>
    </row>
    <row r="332" spans="1:21" x14ac:dyDescent="0.25">
      <c r="A332" s="14"/>
      <c r="B332" s="12"/>
      <c r="C332" s="12"/>
      <c r="D332" s="16"/>
      <c r="E332" s="16"/>
      <c r="F332" s="16"/>
      <c r="G332" s="16"/>
      <c r="H332" s="13"/>
      <c r="I332" s="13"/>
      <c r="J332" s="13"/>
      <c r="K332" s="12"/>
      <c r="L332" s="16"/>
      <c r="M332" s="16"/>
      <c r="N332" s="106"/>
      <c r="O332" s="12"/>
      <c r="P332" s="106"/>
      <c r="Q332" s="12"/>
      <c r="R332" s="16"/>
      <c r="S332" s="12"/>
      <c r="T332" s="16"/>
      <c r="U332" s="16"/>
    </row>
    <row r="333" spans="1:21" x14ac:dyDescent="0.25">
      <c r="A333" s="14"/>
      <c r="B333" s="12"/>
      <c r="C333" s="12"/>
      <c r="D333" s="16"/>
      <c r="E333" s="16"/>
      <c r="F333" s="16"/>
      <c r="G333" s="16"/>
      <c r="H333" s="13"/>
      <c r="I333" s="13"/>
      <c r="J333" s="13"/>
      <c r="K333" s="12"/>
      <c r="L333" s="16"/>
      <c r="M333" s="16"/>
      <c r="N333" s="106"/>
      <c r="O333" s="12"/>
      <c r="P333" s="106"/>
      <c r="Q333" s="12"/>
      <c r="R333" s="16"/>
      <c r="S333" s="12"/>
      <c r="T333" s="16"/>
      <c r="U333" s="16"/>
    </row>
    <row r="334" spans="1:21" x14ac:dyDescent="0.25">
      <c r="A334" s="14"/>
      <c r="B334" s="12"/>
      <c r="C334" s="12"/>
      <c r="D334" s="16"/>
      <c r="E334" s="16"/>
      <c r="F334" s="16"/>
      <c r="G334" s="16"/>
      <c r="H334" s="13"/>
      <c r="I334" s="13"/>
      <c r="J334" s="13"/>
      <c r="K334" s="12"/>
      <c r="L334" s="16"/>
      <c r="M334" s="16"/>
      <c r="N334" s="106"/>
      <c r="O334" s="12"/>
      <c r="P334" s="106"/>
      <c r="Q334" s="12"/>
      <c r="R334" s="16"/>
      <c r="S334" s="12"/>
      <c r="T334" s="16"/>
      <c r="U334" s="16"/>
    </row>
    <row r="335" spans="1:21" x14ac:dyDescent="0.25">
      <c r="A335" s="14"/>
      <c r="B335" s="12"/>
      <c r="C335" s="12"/>
      <c r="D335" s="16"/>
      <c r="E335" s="16"/>
      <c r="F335" s="16"/>
      <c r="G335" s="16"/>
      <c r="H335" s="13"/>
      <c r="I335" s="13"/>
      <c r="J335" s="13"/>
      <c r="K335" s="12"/>
      <c r="L335" s="16"/>
      <c r="M335" s="16"/>
      <c r="N335" s="106"/>
      <c r="O335" s="12"/>
      <c r="P335" s="106"/>
      <c r="Q335" s="12"/>
      <c r="R335" s="16"/>
      <c r="S335" s="12"/>
      <c r="T335" s="16"/>
      <c r="U335" s="16"/>
    </row>
    <row r="336" spans="1:21" x14ac:dyDescent="0.25">
      <c r="A336" s="14"/>
      <c r="B336" s="12"/>
      <c r="C336" s="12"/>
      <c r="D336" s="16"/>
      <c r="E336" s="16"/>
      <c r="F336" s="16"/>
      <c r="G336" s="16"/>
      <c r="H336" s="13"/>
      <c r="I336" s="13"/>
      <c r="J336" s="13"/>
      <c r="K336" s="12"/>
      <c r="L336" s="16"/>
      <c r="M336" s="16"/>
      <c r="N336" s="106"/>
      <c r="O336" s="12"/>
      <c r="P336" s="106"/>
      <c r="Q336" s="12"/>
      <c r="R336" s="16"/>
      <c r="S336" s="12"/>
      <c r="T336" s="16"/>
      <c r="U336" s="16"/>
    </row>
    <row r="337" spans="1:21" x14ac:dyDescent="0.25">
      <c r="A337" s="14"/>
      <c r="B337" s="12"/>
      <c r="C337" s="12"/>
      <c r="D337" s="16"/>
      <c r="E337" s="16"/>
      <c r="F337" s="16"/>
      <c r="G337" s="16"/>
      <c r="H337" s="13"/>
      <c r="I337" s="13"/>
      <c r="J337" s="13"/>
      <c r="K337" s="12"/>
      <c r="L337" s="16"/>
      <c r="M337" s="16"/>
      <c r="N337" s="106"/>
      <c r="O337" s="12"/>
      <c r="P337" s="106"/>
      <c r="Q337" s="12"/>
      <c r="R337" s="16"/>
      <c r="S337" s="12"/>
      <c r="T337" s="16"/>
      <c r="U337" s="16"/>
    </row>
    <row r="338" spans="1:21" x14ac:dyDescent="0.25">
      <c r="A338" s="14"/>
      <c r="B338" s="12"/>
      <c r="C338" s="12"/>
      <c r="D338" s="16"/>
      <c r="E338" s="16"/>
      <c r="F338" s="16"/>
      <c r="G338" s="16"/>
      <c r="H338" s="13"/>
      <c r="I338" s="13"/>
      <c r="J338" s="13"/>
      <c r="K338" s="12"/>
      <c r="L338" s="16"/>
      <c r="M338" s="16"/>
      <c r="N338" s="106"/>
      <c r="O338" s="12"/>
      <c r="P338" s="106"/>
      <c r="Q338" s="12"/>
      <c r="R338" s="16"/>
      <c r="S338" s="12"/>
      <c r="T338" s="16"/>
      <c r="U338" s="16"/>
    </row>
    <row r="339" spans="1:21" x14ac:dyDescent="0.25">
      <c r="A339" s="14"/>
      <c r="B339" s="12"/>
      <c r="C339" s="12"/>
      <c r="D339" s="16"/>
      <c r="E339" s="16"/>
      <c r="F339" s="16"/>
      <c r="G339" s="16"/>
      <c r="H339" s="13"/>
      <c r="I339" s="13"/>
      <c r="J339" s="13"/>
      <c r="K339" s="12"/>
      <c r="L339" s="16"/>
      <c r="M339" s="16"/>
      <c r="N339" s="106"/>
      <c r="O339" s="12"/>
      <c r="P339" s="106"/>
      <c r="Q339" s="12"/>
      <c r="R339" s="16"/>
      <c r="S339" s="12"/>
      <c r="T339" s="16"/>
      <c r="U339" s="16"/>
    </row>
    <row r="340" spans="1:21" x14ac:dyDescent="0.25">
      <c r="A340" s="14"/>
      <c r="B340" s="12"/>
      <c r="C340" s="12"/>
      <c r="D340" s="16"/>
      <c r="E340" s="16"/>
      <c r="F340" s="16"/>
      <c r="G340" s="16"/>
      <c r="H340" s="13"/>
      <c r="I340" s="13"/>
      <c r="J340" s="13"/>
      <c r="K340" s="12"/>
      <c r="L340" s="16"/>
      <c r="M340" s="16"/>
      <c r="N340" s="106"/>
      <c r="O340" s="12"/>
      <c r="P340" s="106"/>
      <c r="Q340" s="12"/>
      <c r="R340" s="16"/>
      <c r="S340" s="12"/>
      <c r="T340" s="16"/>
      <c r="U340" s="16"/>
    </row>
    <row r="341" spans="1:21" x14ac:dyDescent="0.25">
      <c r="A341" s="14"/>
      <c r="B341" s="12"/>
      <c r="C341" s="12"/>
      <c r="D341" s="16"/>
      <c r="E341" s="16"/>
      <c r="F341" s="16"/>
      <c r="G341" s="16"/>
      <c r="H341" s="13"/>
      <c r="I341" s="13"/>
      <c r="J341" s="13"/>
      <c r="K341" s="12"/>
      <c r="L341" s="16"/>
      <c r="M341" s="16"/>
      <c r="N341" s="106"/>
      <c r="O341" s="12"/>
      <c r="P341" s="106"/>
      <c r="Q341" s="12"/>
      <c r="R341" s="16"/>
      <c r="S341" s="12"/>
      <c r="T341" s="16"/>
      <c r="U341" s="16"/>
    </row>
    <row r="342" spans="1:21" x14ac:dyDescent="0.25">
      <c r="A342" s="14"/>
      <c r="B342" s="12"/>
      <c r="C342" s="12"/>
      <c r="D342" s="16"/>
      <c r="E342" s="16"/>
      <c r="F342" s="16"/>
      <c r="G342" s="16"/>
      <c r="H342" s="13"/>
      <c r="I342" s="13"/>
      <c r="J342" s="13"/>
      <c r="K342" s="12"/>
      <c r="L342" s="16"/>
      <c r="M342" s="16"/>
      <c r="N342" s="106"/>
      <c r="O342" s="12"/>
      <c r="P342" s="106"/>
      <c r="Q342" s="12"/>
      <c r="R342" s="16"/>
      <c r="S342" s="12"/>
      <c r="T342" s="16"/>
      <c r="U342" s="16"/>
    </row>
    <row r="343" spans="1:21" x14ac:dyDescent="0.25">
      <c r="A343" s="14"/>
      <c r="B343" s="12"/>
      <c r="C343" s="12"/>
      <c r="D343" s="16"/>
      <c r="E343" s="16"/>
      <c r="F343" s="16"/>
      <c r="G343" s="16"/>
      <c r="H343" s="13"/>
      <c r="I343" s="13"/>
      <c r="J343" s="13"/>
      <c r="K343" s="12"/>
      <c r="L343" s="16"/>
      <c r="M343" s="16"/>
      <c r="N343" s="106"/>
      <c r="O343" s="12"/>
      <c r="P343" s="106"/>
      <c r="Q343" s="12"/>
      <c r="R343" s="16"/>
      <c r="S343" s="12"/>
      <c r="T343" s="16"/>
      <c r="U343" s="16"/>
    </row>
    <row r="344" spans="1:21" x14ac:dyDescent="0.25">
      <c r="A344" s="14"/>
      <c r="B344" s="12"/>
      <c r="C344" s="12"/>
      <c r="D344" s="16"/>
      <c r="E344" s="16"/>
      <c r="F344" s="16"/>
      <c r="G344" s="16"/>
      <c r="H344" s="13"/>
      <c r="I344" s="13"/>
      <c r="J344" s="13"/>
      <c r="K344" s="12"/>
      <c r="L344" s="16"/>
      <c r="M344" s="16"/>
      <c r="N344" s="106"/>
      <c r="O344" s="12"/>
      <c r="P344" s="106"/>
      <c r="Q344" s="12"/>
      <c r="R344" s="16"/>
      <c r="S344" s="12"/>
      <c r="T344" s="16"/>
      <c r="U344" s="16"/>
    </row>
    <row r="345" spans="1:21" x14ac:dyDescent="0.25">
      <c r="A345" s="14"/>
      <c r="B345" s="12"/>
      <c r="C345" s="12"/>
      <c r="D345" s="16"/>
      <c r="E345" s="16"/>
      <c r="F345" s="16"/>
      <c r="G345" s="16"/>
      <c r="H345" s="13"/>
      <c r="I345" s="13"/>
      <c r="J345" s="13"/>
      <c r="K345" s="12"/>
      <c r="L345" s="16"/>
      <c r="M345" s="16"/>
      <c r="N345" s="106"/>
      <c r="O345" s="12"/>
      <c r="P345" s="106"/>
      <c r="Q345" s="12"/>
      <c r="R345" s="16"/>
      <c r="S345" s="12"/>
      <c r="T345" s="16"/>
      <c r="U345" s="16"/>
    </row>
    <row r="346" spans="1:21" x14ac:dyDescent="0.25">
      <c r="A346" s="14"/>
      <c r="B346" s="12"/>
      <c r="C346" s="12"/>
      <c r="D346" s="16"/>
      <c r="E346" s="16"/>
      <c r="F346" s="16"/>
      <c r="G346" s="16"/>
      <c r="H346" s="13"/>
      <c r="I346" s="13"/>
      <c r="J346" s="13"/>
      <c r="K346" s="12"/>
      <c r="L346" s="16"/>
      <c r="M346" s="16"/>
      <c r="N346" s="106"/>
      <c r="O346" s="12"/>
      <c r="P346" s="106"/>
      <c r="Q346" s="12"/>
      <c r="R346" s="16"/>
      <c r="S346" s="12"/>
      <c r="T346" s="16"/>
      <c r="U346" s="16"/>
    </row>
    <row r="347" spans="1:21" x14ac:dyDescent="0.25">
      <c r="A347" s="14"/>
      <c r="B347" s="12"/>
      <c r="C347" s="12"/>
      <c r="D347" s="16"/>
      <c r="E347" s="16"/>
      <c r="F347" s="16"/>
      <c r="G347" s="16"/>
      <c r="H347" s="13"/>
      <c r="I347" s="13"/>
      <c r="J347" s="13"/>
      <c r="K347" s="12"/>
      <c r="L347" s="16"/>
      <c r="M347" s="16"/>
      <c r="N347" s="106"/>
      <c r="O347" s="12"/>
      <c r="P347" s="106"/>
      <c r="Q347" s="12"/>
      <c r="R347" s="16"/>
      <c r="S347" s="12"/>
      <c r="T347" s="16"/>
      <c r="U347" s="16"/>
    </row>
    <row r="348" spans="1:21" x14ac:dyDescent="0.25">
      <c r="A348" s="14"/>
      <c r="B348" s="12"/>
      <c r="C348" s="12"/>
      <c r="D348" s="16"/>
      <c r="E348" s="16"/>
      <c r="F348" s="16"/>
      <c r="G348" s="16"/>
      <c r="H348" s="13"/>
      <c r="I348" s="13"/>
      <c r="J348" s="13"/>
      <c r="K348" s="12"/>
      <c r="L348" s="16"/>
      <c r="M348" s="16"/>
      <c r="N348" s="106"/>
      <c r="O348" s="12"/>
      <c r="P348" s="106"/>
      <c r="Q348" s="12"/>
      <c r="R348" s="16"/>
      <c r="S348" s="12"/>
      <c r="T348" s="16"/>
      <c r="U348" s="16"/>
    </row>
    <row r="349" spans="1:21" x14ac:dyDescent="0.25">
      <c r="A349" s="14"/>
      <c r="B349" s="12"/>
      <c r="C349" s="12"/>
      <c r="D349" s="16"/>
      <c r="E349" s="16"/>
      <c r="F349" s="16"/>
      <c r="G349" s="16"/>
      <c r="H349" s="13"/>
      <c r="I349" s="13"/>
      <c r="J349" s="13"/>
      <c r="K349" s="12"/>
      <c r="L349" s="16"/>
      <c r="M349" s="16"/>
      <c r="N349" s="106"/>
      <c r="O349" s="12"/>
      <c r="P349" s="106"/>
      <c r="Q349" s="12"/>
      <c r="R349" s="16"/>
      <c r="S349" s="12"/>
      <c r="T349" s="16"/>
      <c r="U349" s="16"/>
    </row>
    <row r="350" spans="1:21" x14ac:dyDescent="0.25">
      <c r="A350" s="14"/>
      <c r="B350" s="12"/>
      <c r="C350" s="12"/>
      <c r="D350" s="16"/>
      <c r="E350" s="16"/>
      <c r="F350" s="16"/>
      <c r="G350" s="16"/>
      <c r="H350" s="13"/>
      <c r="I350" s="13"/>
      <c r="J350" s="13"/>
      <c r="K350" s="12"/>
      <c r="L350" s="16"/>
      <c r="M350" s="16"/>
      <c r="N350" s="106"/>
      <c r="O350" s="12"/>
      <c r="P350" s="106"/>
      <c r="Q350" s="12"/>
      <c r="R350" s="16"/>
      <c r="S350" s="12"/>
      <c r="T350" s="16"/>
      <c r="U350" s="16"/>
    </row>
    <row r="351" spans="1:21" x14ac:dyDescent="0.25">
      <c r="A351" s="14"/>
      <c r="B351" s="12"/>
      <c r="C351" s="12"/>
      <c r="D351" s="16"/>
      <c r="E351" s="16"/>
      <c r="F351" s="16"/>
      <c r="G351" s="16"/>
      <c r="H351" s="13"/>
      <c r="I351" s="13"/>
      <c r="J351" s="13"/>
      <c r="K351" s="12"/>
      <c r="L351" s="16"/>
      <c r="M351" s="16"/>
      <c r="N351" s="106"/>
      <c r="O351" s="12"/>
      <c r="P351" s="106"/>
      <c r="Q351" s="12"/>
      <c r="R351" s="16"/>
      <c r="S351" s="12"/>
      <c r="T351" s="16"/>
      <c r="U351" s="16"/>
    </row>
    <row r="352" spans="1:21" x14ac:dyDescent="0.25">
      <c r="A352" s="14"/>
      <c r="B352" s="12"/>
      <c r="C352" s="12"/>
      <c r="D352" s="16"/>
      <c r="E352" s="16"/>
      <c r="F352" s="16"/>
      <c r="G352" s="16"/>
      <c r="H352" s="13"/>
      <c r="I352" s="13"/>
      <c r="J352" s="13"/>
      <c r="K352" s="12"/>
      <c r="L352" s="16"/>
      <c r="M352" s="16"/>
      <c r="N352" s="106"/>
      <c r="O352" s="12"/>
      <c r="P352" s="106"/>
      <c r="Q352" s="12"/>
      <c r="R352" s="16"/>
      <c r="S352" s="12"/>
      <c r="T352" s="16"/>
      <c r="U352" s="16"/>
    </row>
    <row r="353" spans="1:21" x14ac:dyDescent="0.25">
      <c r="A353" s="14"/>
      <c r="B353" s="12"/>
      <c r="C353" s="12"/>
      <c r="D353" s="16"/>
      <c r="E353" s="16"/>
      <c r="F353" s="16"/>
      <c r="G353" s="16"/>
      <c r="H353" s="13"/>
      <c r="I353" s="13"/>
      <c r="J353" s="13"/>
      <c r="K353" s="12"/>
      <c r="L353" s="16"/>
      <c r="M353" s="16"/>
      <c r="N353" s="106"/>
      <c r="O353" s="12"/>
      <c r="P353" s="106"/>
      <c r="Q353" s="12"/>
      <c r="R353" s="16"/>
      <c r="S353" s="12"/>
      <c r="T353" s="16"/>
      <c r="U353" s="16"/>
    </row>
    <row r="354" spans="1:21" x14ac:dyDescent="0.25">
      <c r="A354" s="14"/>
      <c r="B354" s="12"/>
      <c r="C354" s="12"/>
      <c r="D354" s="16"/>
      <c r="E354" s="16"/>
      <c r="F354" s="16"/>
      <c r="G354" s="16"/>
      <c r="H354" s="13"/>
      <c r="I354" s="13"/>
      <c r="J354" s="13"/>
      <c r="K354" s="12"/>
      <c r="L354" s="16"/>
      <c r="M354" s="16"/>
      <c r="N354" s="106"/>
      <c r="O354" s="12"/>
      <c r="P354" s="106"/>
      <c r="Q354" s="12"/>
      <c r="R354" s="16"/>
      <c r="S354" s="12"/>
      <c r="T354" s="16"/>
      <c r="U354" s="16"/>
    </row>
    <row r="355" spans="1:21" x14ac:dyDescent="0.25">
      <c r="A355" s="14"/>
      <c r="B355" s="12"/>
      <c r="C355" s="12"/>
      <c r="D355" s="16"/>
      <c r="E355" s="16"/>
      <c r="F355" s="16"/>
      <c r="G355" s="16"/>
      <c r="H355" s="13"/>
      <c r="I355" s="13"/>
      <c r="J355" s="13"/>
      <c r="K355" s="12"/>
      <c r="L355" s="16"/>
      <c r="M355" s="16"/>
      <c r="N355" s="106"/>
      <c r="O355" s="12"/>
      <c r="P355" s="106"/>
      <c r="Q355" s="12"/>
      <c r="R355" s="16"/>
      <c r="S355" s="12"/>
      <c r="T355" s="16"/>
      <c r="U355" s="16"/>
    </row>
    <row r="356" spans="1:21" x14ac:dyDescent="0.25">
      <c r="A356" s="14"/>
      <c r="B356" s="12"/>
      <c r="C356" s="12"/>
      <c r="D356" s="16"/>
      <c r="E356" s="16"/>
      <c r="F356" s="16"/>
      <c r="G356" s="16"/>
      <c r="H356" s="13"/>
      <c r="I356" s="13"/>
      <c r="J356" s="13"/>
      <c r="K356" s="12"/>
      <c r="L356" s="16"/>
      <c r="M356" s="16"/>
      <c r="N356" s="106"/>
      <c r="O356" s="12"/>
      <c r="P356" s="106"/>
      <c r="Q356" s="12"/>
      <c r="R356" s="16"/>
      <c r="S356" s="12"/>
      <c r="T356" s="16"/>
      <c r="U356" s="16"/>
    </row>
    <row r="357" spans="1:21" x14ac:dyDescent="0.25">
      <c r="A357" s="14"/>
      <c r="B357" s="12"/>
      <c r="C357" s="12"/>
      <c r="D357" s="16"/>
      <c r="E357" s="16"/>
      <c r="F357" s="16"/>
      <c r="G357" s="16"/>
      <c r="H357" s="13"/>
      <c r="I357" s="13"/>
      <c r="J357" s="13"/>
      <c r="K357" s="12"/>
      <c r="L357" s="16"/>
      <c r="M357" s="16"/>
      <c r="N357" s="106"/>
      <c r="O357" s="12"/>
      <c r="P357" s="106"/>
      <c r="Q357" s="12"/>
      <c r="R357" s="16"/>
      <c r="S357" s="12"/>
      <c r="T357" s="16"/>
      <c r="U357" s="16"/>
    </row>
    <row r="358" spans="1:21" x14ac:dyDescent="0.25">
      <c r="A358" s="14"/>
      <c r="B358" s="12"/>
      <c r="C358" s="12"/>
      <c r="D358" s="16"/>
      <c r="E358" s="16"/>
      <c r="F358" s="16"/>
      <c r="G358" s="16"/>
      <c r="H358" s="13"/>
      <c r="I358" s="13"/>
      <c r="J358" s="13"/>
      <c r="K358" s="12"/>
      <c r="L358" s="16"/>
      <c r="M358" s="16"/>
      <c r="N358" s="106"/>
      <c r="O358" s="12"/>
      <c r="P358" s="106"/>
      <c r="Q358" s="12"/>
      <c r="R358" s="16"/>
      <c r="S358" s="12"/>
      <c r="T358" s="16"/>
      <c r="U358" s="16"/>
    </row>
    <row r="359" spans="1:21" x14ac:dyDescent="0.25">
      <c r="A359" s="14"/>
      <c r="B359" s="12"/>
      <c r="C359" s="12"/>
      <c r="D359" s="16"/>
      <c r="E359" s="16"/>
      <c r="F359" s="16"/>
      <c r="G359" s="16"/>
      <c r="H359" s="13"/>
      <c r="I359" s="13"/>
      <c r="J359" s="13"/>
      <c r="K359" s="12"/>
      <c r="L359" s="16"/>
      <c r="M359" s="16"/>
      <c r="N359" s="106"/>
      <c r="O359" s="12"/>
      <c r="P359" s="106"/>
      <c r="Q359" s="12"/>
      <c r="R359" s="16"/>
      <c r="S359" s="12"/>
      <c r="T359" s="16"/>
      <c r="U359" s="16"/>
    </row>
    <row r="360" spans="1:21" x14ac:dyDescent="0.25">
      <c r="A360" s="14"/>
      <c r="B360" s="12"/>
      <c r="C360" s="12"/>
      <c r="D360" s="16"/>
      <c r="E360" s="16"/>
      <c r="F360" s="16"/>
      <c r="G360" s="16"/>
      <c r="H360" s="13"/>
      <c r="I360" s="13"/>
      <c r="J360" s="13"/>
      <c r="K360" s="12"/>
      <c r="L360" s="16"/>
      <c r="M360" s="16"/>
      <c r="N360" s="106"/>
      <c r="O360" s="12"/>
      <c r="P360" s="106"/>
      <c r="Q360" s="12"/>
      <c r="R360" s="16"/>
      <c r="S360" s="12"/>
      <c r="T360" s="16"/>
      <c r="U360" s="16"/>
    </row>
    <row r="361" spans="1:21" x14ac:dyDescent="0.25">
      <c r="A361" s="14"/>
      <c r="B361" s="12"/>
      <c r="C361" s="12"/>
      <c r="D361" s="16"/>
      <c r="E361" s="16"/>
      <c r="F361" s="16"/>
      <c r="G361" s="16"/>
      <c r="H361" s="13"/>
      <c r="I361" s="13"/>
      <c r="J361" s="13"/>
      <c r="K361" s="12"/>
      <c r="L361" s="16"/>
      <c r="M361" s="16"/>
      <c r="N361" s="106"/>
      <c r="O361" s="12"/>
      <c r="P361" s="106"/>
      <c r="Q361" s="12"/>
      <c r="R361" s="16"/>
      <c r="S361" s="12"/>
      <c r="T361" s="16"/>
      <c r="U361" s="16"/>
    </row>
    <row r="362" spans="1:21" x14ac:dyDescent="0.25">
      <c r="A362" s="14"/>
      <c r="B362" s="12"/>
      <c r="C362" s="12"/>
      <c r="D362" s="16"/>
      <c r="E362" s="16"/>
      <c r="F362" s="16"/>
      <c r="G362" s="16"/>
      <c r="H362" s="13"/>
      <c r="I362" s="13"/>
      <c r="J362" s="13"/>
      <c r="K362" s="12"/>
      <c r="L362" s="16"/>
      <c r="M362" s="16"/>
      <c r="N362" s="106"/>
      <c r="O362" s="12"/>
      <c r="P362" s="106"/>
      <c r="Q362" s="12"/>
      <c r="R362" s="16"/>
      <c r="S362" s="12"/>
      <c r="T362" s="16"/>
      <c r="U362" s="16"/>
    </row>
    <row r="363" spans="1:21" x14ac:dyDescent="0.25">
      <c r="A363" s="14"/>
      <c r="B363" s="12"/>
      <c r="C363" s="12"/>
      <c r="D363" s="16"/>
      <c r="E363" s="16"/>
      <c r="F363" s="16"/>
      <c r="G363" s="16"/>
      <c r="H363" s="13"/>
      <c r="I363" s="13"/>
      <c r="J363" s="13"/>
      <c r="K363" s="12"/>
      <c r="L363" s="16"/>
      <c r="M363" s="16"/>
      <c r="N363" s="106"/>
      <c r="O363" s="12"/>
      <c r="P363" s="106"/>
      <c r="Q363" s="12"/>
      <c r="R363" s="16"/>
      <c r="S363" s="12"/>
      <c r="T363" s="16"/>
      <c r="U363" s="16"/>
    </row>
    <row r="364" spans="1:21" x14ac:dyDescent="0.25">
      <c r="A364" s="14"/>
      <c r="B364" s="12"/>
      <c r="C364" s="12"/>
      <c r="D364" s="16"/>
      <c r="E364" s="16"/>
      <c r="F364" s="16"/>
      <c r="G364" s="16"/>
      <c r="H364" s="13"/>
      <c r="I364" s="13"/>
      <c r="J364" s="13"/>
      <c r="K364" s="12"/>
      <c r="L364" s="16"/>
      <c r="M364" s="16"/>
      <c r="N364" s="106"/>
      <c r="O364" s="12"/>
      <c r="P364" s="106"/>
      <c r="Q364" s="12"/>
      <c r="R364" s="16"/>
      <c r="S364" s="12"/>
      <c r="T364" s="16"/>
      <c r="U364" s="16"/>
    </row>
    <row r="365" spans="1:21" x14ac:dyDescent="0.25">
      <c r="A365" s="14"/>
      <c r="B365" s="12"/>
      <c r="C365" s="12"/>
      <c r="D365" s="16"/>
      <c r="E365" s="16"/>
      <c r="F365" s="16"/>
      <c r="G365" s="16"/>
      <c r="H365" s="13"/>
      <c r="I365" s="13"/>
      <c r="J365" s="13"/>
      <c r="K365" s="12"/>
      <c r="L365" s="16"/>
      <c r="M365" s="16"/>
      <c r="N365" s="106"/>
      <c r="O365" s="12"/>
      <c r="P365" s="106"/>
      <c r="Q365" s="12"/>
      <c r="R365" s="16"/>
      <c r="S365" s="12"/>
      <c r="T365" s="16"/>
      <c r="U365" s="16"/>
    </row>
    <row r="366" spans="1:21" x14ac:dyDescent="0.25">
      <c r="A366" s="14"/>
      <c r="B366" s="12"/>
      <c r="C366" s="12"/>
      <c r="D366" s="16"/>
      <c r="E366" s="16"/>
      <c r="F366" s="16"/>
      <c r="G366" s="16"/>
      <c r="H366" s="13"/>
      <c r="I366" s="13"/>
      <c r="J366" s="13"/>
      <c r="K366" s="12"/>
      <c r="L366" s="16"/>
      <c r="M366" s="16"/>
      <c r="N366" s="106"/>
      <c r="O366" s="12"/>
      <c r="P366" s="106"/>
      <c r="Q366" s="12"/>
      <c r="R366" s="16"/>
      <c r="S366" s="12"/>
      <c r="T366" s="16"/>
      <c r="U366" s="16"/>
    </row>
    <row r="367" spans="1:21" x14ac:dyDescent="0.25">
      <c r="A367" s="14"/>
      <c r="B367" s="12"/>
      <c r="C367" s="12"/>
      <c r="D367" s="16"/>
      <c r="E367" s="16"/>
      <c r="F367" s="16"/>
      <c r="G367" s="16"/>
      <c r="H367" s="13"/>
      <c r="I367" s="13"/>
      <c r="J367" s="13"/>
      <c r="K367" s="12"/>
      <c r="L367" s="16"/>
      <c r="M367" s="16"/>
      <c r="N367" s="106"/>
      <c r="O367" s="12"/>
      <c r="P367" s="106"/>
      <c r="Q367" s="12"/>
      <c r="R367" s="16"/>
      <c r="S367" s="12"/>
      <c r="T367" s="16"/>
      <c r="U367" s="16"/>
    </row>
    <row r="368" spans="1:21" x14ac:dyDescent="0.25">
      <c r="A368" s="14"/>
      <c r="B368" s="12"/>
      <c r="C368" s="12"/>
      <c r="D368" s="16"/>
      <c r="E368" s="16"/>
      <c r="F368" s="16"/>
      <c r="G368" s="16"/>
      <c r="H368" s="13"/>
      <c r="I368" s="13"/>
      <c r="J368" s="13"/>
      <c r="K368" s="12"/>
      <c r="L368" s="16"/>
      <c r="M368" s="16"/>
      <c r="N368" s="106"/>
      <c r="O368" s="12"/>
      <c r="P368" s="106"/>
      <c r="Q368" s="12"/>
      <c r="R368" s="16"/>
      <c r="S368" s="12"/>
      <c r="T368" s="16"/>
      <c r="U368" s="16"/>
    </row>
    <row r="369" spans="1:21" x14ac:dyDescent="0.25">
      <c r="A369" s="14"/>
      <c r="B369" s="12"/>
      <c r="C369" s="12"/>
      <c r="D369" s="16"/>
      <c r="E369" s="16"/>
      <c r="F369" s="16"/>
      <c r="G369" s="16"/>
      <c r="H369" s="13"/>
      <c r="I369" s="13"/>
      <c r="J369" s="13"/>
      <c r="K369" s="12"/>
      <c r="L369" s="16"/>
      <c r="M369" s="16"/>
      <c r="N369" s="106"/>
      <c r="O369" s="12"/>
      <c r="P369" s="106"/>
      <c r="Q369" s="12"/>
      <c r="R369" s="16"/>
      <c r="S369" s="12"/>
      <c r="T369" s="16"/>
      <c r="U369" s="16"/>
    </row>
    <row r="370" spans="1:21" x14ac:dyDescent="0.25">
      <c r="A370" s="14"/>
      <c r="B370" s="12"/>
      <c r="C370" s="12"/>
      <c r="D370" s="16"/>
      <c r="E370" s="16"/>
      <c r="F370" s="16"/>
      <c r="G370" s="16"/>
      <c r="H370" s="13"/>
      <c r="I370" s="13"/>
      <c r="J370" s="13"/>
      <c r="K370" s="12"/>
      <c r="L370" s="16"/>
      <c r="M370" s="16"/>
      <c r="N370" s="106"/>
      <c r="O370" s="12"/>
      <c r="P370" s="106"/>
      <c r="Q370" s="12"/>
      <c r="R370" s="16"/>
      <c r="S370" s="12"/>
      <c r="T370" s="16"/>
      <c r="U370" s="16"/>
    </row>
    <row r="371" spans="1:21" x14ac:dyDescent="0.25">
      <c r="A371" s="14"/>
      <c r="B371" s="12"/>
      <c r="C371" s="12"/>
      <c r="D371" s="16"/>
      <c r="E371" s="16"/>
      <c r="F371" s="16"/>
      <c r="G371" s="16"/>
      <c r="H371" s="13"/>
      <c r="I371" s="13"/>
      <c r="J371" s="13"/>
      <c r="K371" s="12"/>
      <c r="L371" s="16"/>
      <c r="M371" s="16"/>
      <c r="N371" s="106"/>
      <c r="O371" s="12"/>
      <c r="P371" s="106"/>
      <c r="Q371" s="12"/>
      <c r="R371" s="16"/>
      <c r="S371" s="12"/>
      <c r="T371" s="16"/>
      <c r="U371" s="16"/>
    </row>
    <row r="372" spans="1:21" x14ac:dyDescent="0.25">
      <c r="A372" s="14"/>
      <c r="B372" s="12"/>
      <c r="C372" s="12"/>
      <c r="D372" s="16"/>
      <c r="E372" s="16"/>
      <c r="F372" s="16"/>
      <c r="G372" s="16"/>
      <c r="H372" s="13"/>
      <c r="I372" s="13"/>
      <c r="J372" s="13"/>
      <c r="K372" s="12"/>
      <c r="L372" s="16"/>
      <c r="M372" s="16"/>
      <c r="N372" s="106"/>
      <c r="O372" s="12"/>
      <c r="P372" s="106"/>
      <c r="Q372" s="12"/>
      <c r="R372" s="16"/>
      <c r="S372" s="12"/>
      <c r="T372" s="16"/>
      <c r="U372" s="16"/>
    </row>
    <row r="373" spans="1:21" x14ac:dyDescent="0.25">
      <c r="A373" s="14"/>
      <c r="B373" s="12"/>
      <c r="C373" s="12"/>
      <c r="D373" s="16"/>
      <c r="E373" s="16"/>
      <c r="F373" s="16"/>
      <c r="G373" s="16"/>
      <c r="H373" s="13"/>
      <c r="I373" s="13"/>
      <c r="J373" s="13"/>
      <c r="K373" s="12"/>
      <c r="L373" s="16"/>
      <c r="M373" s="16"/>
      <c r="N373" s="106"/>
      <c r="O373" s="12"/>
      <c r="P373" s="106"/>
      <c r="Q373" s="12"/>
      <c r="R373" s="16"/>
      <c r="S373" s="12"/>
      <c r="T373" s="16"/>
      <c r="U373" s="16"/>
    </row>
    <row r="374" spans="1:21" x14ac:dyDescent="0.25">
      <c r="A374" s="14"/>
      <c r="B374" s="12"/>
      <c r="C374" s="12"/>
      <c r="D374" s="16"/>
      <c r="E374" s="16"/>
      <c r="F374" s="16"/>
      <c r="G374" s="16"/>
      <c r="H374" s="13"/>
      <c r="I374" s="13"/>
      <c r="J374" s="13"/>
      <c r="K374" s="12"/>
      <c r="L374" s="16"/>
      <c r="M374" s="16"/>
      <c r="N374" s="106"/>
      <c r="O374" s="12"/>
      <c r="P374" s="106"/>
      <c r="Q374" s="12"/>
      <c r="R374" s="16"/>
      <c r="S374" s="12"/>
      <c r="T374" s="16"/>
      <c r="U374" s="16"/>
    </row>
    <row r="375" spans="1:21" x14ac:dyDescent="0.25">
      <c r="A375" s="14"/>
      <c r="B375" s="12"/>
      <c r="C375" s="12"/>
      <c r="D375" s="16"/>
      <c r="E375" s="16"/>
      <c r="F375" s="16"/>
      <c r="G375" s="16"/>
      <c r="H375" s="13"/>
      <c r="I375" s="13"/>
      <c r="J375" s="13"/>
      <c r="K375" s="12"/>
      <c r="L375" s="16"/>
      <c r="M375" s="16"/>
      <c r="N375" s="106"/>
      <c r="O375" s="12"/>
      <c r="P375" s="106"/>
      <c r="Q375" s="12"/>
      <c r="R375" s="16"/>
      <c r="S375" s="12"/>
      <c r="T375" s="16"/>
      <c r="U375" s="16"/>
    </row>
    <row r="376" spans="1:21" x14ac:dyDescent="0.25">
      <c r="A376" s="14"/>
      <c r="B376" s="12"/>
      <c r="C376" s="12"/>
      <c r="D376" s="16"/>
      <c r="E376" s="16"/>
      <c r="F376" s="16"/>
      <c r="G376" s="16"/>
      <c r="H376" s="13"/>
      <c r="I376" s="13"/>
      <c r="J376" s="13"/>
      <c r="K376" s="12"/>
      <c r="L376" s="16"/>
      <c r="M376" s="16"/>
      <c r="N376" s="106"/>
      <c r="O376" s="12"/>
      <c r="P376" s="106"/>
      <c r="Q376" s="12"/>
      <c r="R376" s="16"/>
      <c r="S376" s="12"/>
      <c r="T376" s="16"/>
      <c r="U376" s="16"/>
    </row>
    <row r="377" spans="1:21" x14ac:dyDescent="0.25">
      <c r="A377" s="14"/>
      <c r="B377" s="12"/>
      <c r="C377" s="12"/>
      <c r="D377" s="16"/>
      <c r="E377" s="16"/>
      <c r="F377" s="16"/>
      <c r="G377" s="16"/>
      <c r="H377" s="13"/>
      <c r="I377" s="13"/>
      <c r="J377" s="13"/>
      <c r="K377" s="12"/>
      <c r="L377" s="16"/>
      <c r="M377" s="16"/>
      <c r="N377" s="106"/>
      <c r="O377" s="12"/>
      <c r="P377" s="106"/>
      <c r="Q377" s="12"/>
      <c r="R377" s="16"/>
      <c r="S377" s="12"/>
      <c r="T377" s="16"/>
      <c r="U377" s="16"/>
    </row>
    <row r="378" spans="1:21" x14ac:dyDescent="0.25">
      <c r="A378" s="14"/>
      <c r="B378" s="12"/>
      <c r="C378" s="12"/>
      <c r="D378" s="16"/>
      <c r="E378" s="16"/>
      <c r="F378" s="16"/>
      <c r="G378" s="16"/>
      <c r="H378" s="13"/>
      <c r="I378" s="13"/>
      <c r="J378" s="13"/>
      <c r="K378" s="12"/>
      <c r="L378" s="16"/>
      <c r="M378" s="16"/>
      <c r="N378" s="106"/>
      <c r="O378" s="12"/>
      <c r="P378" s="106"/>
      <c r="Q378" s="12"/>
      <c r="R378" s="16"/>
      <c r="S378" s="12"/>
      <c r="T378" s="16"/>
      <c r="U378" s="16"/>
    </row>
    <row r="379" spans="1:21" x14ac:dyDescent="0.25">
      <c r="A379" s="14"/>
      <c r="B379" s="12"/>
      <c r="C379" s="12"/>
      <c r="D379" s="16"/>
      <c r="E379" s="16"/>
      <c r="F379" s="16"/>
      <c r="G379" s="16"/>
      <c r="H379" s="13"/>
      <c r="I379" s="13"/>
      <c r="J379" s="13"/>
      <c r="K379" s="12"/>
      <c r="L379" s="16"/>
      <c r="M379" s="16"/>
      <c r="N379" s="106"/>
      <c r="O379" s="12"/>
      <c r="P379" s="106"/>
      <c r="Q379" s="12"/>
      <c r="R379" s="16"/>
      <c r="S379" s="12"/>
      <c r="T379" s="16"/>
      <c r="U379" s="16"/>
    </row>
    <row r="380" spans="1:21" x14ac:dyDescent="0.25">
      <c r="A380" s="14"/>
      <c r="B380" s="12"/>
      <c r="C380" s="12"/>
      <c r="D380" s="16"/>
      <c r="E380" s="16"/>
      <c r="F380" s="16"/>
      <c r="G380" s="16"/>
      <c r="H380" s="13"/>
      <c r="I380" s="13"/>
      <c r="J380" s="13"/>
      <c r="K380" s="12"/>
      <c r="L380" s="16"/>
      <c r="M380" s="16"/>
      <c r="N380" s="106"/>
      <c r="O380" s="12"/>
      <c r="P380" s="106"/>
      <c r="Q380" s="12"/>
      <c r="R380" s="16"/>
      <c r="S380" s="12"/>
      <c r="T380" s="16"/>
      <c r="U380" s="16"/>
    </row>
    <row r="381" spans="1:21" x14ac:dyDescent="0.25">
      <c r="A381" s="14"/>
      <c r="B381" s="12"/>
      <c r="C381" s="12"/>
      <c r="D381" s="16"/>
      <c r="E381" s="16"/>
      <c r="F381" s="16"/>
      <c r="G381" s="16"/>
      <c r="H381" s="13"/>
      <c r="I381" s="13"/>
      <c r="J381" s="13"/>
      <c r="K381" s="12"/>
      <c r="L381" s="16"/>
      <c r="M381" s="16"/>
      <c r="N381" s="106"/>
      <c r="O381" s="12"/>
      <c r="P381" s="106"/>
      <c r="Q381" s="12"/>
      <c r="R381" s="16"/>
      <c r="S381" s="12"/>
      <c r="T381" s="16"/>
      <c r="U381" s="16"/>
    </row>
    <row r="382" spans="1:21" x14ac:dyDescent="0.25">
      <c r="A382" s="14"/>
      <c r="B382" s="12"/>
      <c r="C382" s="12"/>
      <c r="D382" s="16"/>
      <c r="E382" s="16"/>
      <c r="F382" s="16"/>
      <c r="G382" s="16"/>
      <c r="H382" s="13"/>
      <c r="I382" s="13"/>
      <c r="J382" s="13"/>
      <c r="K382" s="12"/>
      <c r="L382" s="16"/>
      <c r="M382" s="16"/>
      <c r="N382" s="106"/>
      <c r="O382" s="12"/>
      <c r="P382" s="106"/>
      <c r="Q382" s="12"/>
      <c r="R382" s="16"/>
      <c r="S382" s="12"/>
      <c r="T382" s="16"/>
      <c r="U382" s="16"/>
    </row>
    <row r="383" spans="1:21" x14ac:dyDescent="0.25">
      <c r="A383" s="14"/>
      <c r="B383" s="12"/>
      <c r="C383" s="12"/>
      <c r="D383" s="16"/>
      <c r="E383" s="16"/>
      <c r="F383" s="16"/>
      <c r="G383" s="16"/>
      <c r="H383" s="13"/>
      <c r="I383" s="13"/>
      <c r="J383" s="13"/>
      <c r="K383" s="12"/>
      <c r="L383" s="16"/>
      <c r="M383" s="16"/>
      <c r="N383" s="106"/>
      <c r="O383" s="12"/>
      <c r="P383" s="106"/>
      <c r="Q383" s="12"/>
      <c r="R383" s="16"/>
      <c r="S383" s="12"/>
      <c r="T383" s="16"/>
      <c r="U383" s="16"/>
    </row>
    <row r="384" spans="1:21" x14ac:dyDescent="0.25">
      <c r="A384" s="14"/>
      <c r="B384" s="12"/>
      <c r="C384" s="12"/>
      <c r="D384" s="16"/>
      <c r="E384" s="16"/>
      <c r="F384" s="16"/>
      <c r="G384" s="16"/>
      <c r="H384" s="13"/>
      <c r="I384" s="13"/>
      <c r="J384" s="13"/>
      <c r="K384" s="12"/>
      <c r="L384" s="16"/>
      <c r="M384" s="16"/>
      <c r="N384" s="106"/>
      <c r="O384" s="12"/>
      <c r="P384" s="106"/>
      <c r="Q384" s="12"/>
      <c r="R384" s="16"/>
      <c r="S384" s="12"/>
      <c r="T384" s="16"/>
      <c r="U384" s="16"/>
    </row>
    <row r="385" spans="1:21" x14ac:dyDescent="0.25">
      <c r="A385" s="14"/>
      <c r="B385" s="12"/>
      <c r="C385" s="12"/>
      <c r="D385" s="16"/>
      <c r="E385" s="16"/>
      <c r="F385" s="16"/>
      <c r="G385" s="16"/>
      <c r="H385" s="13"/>
      <c r="I385" s="13"/>
      <c r="J385" s="13"/>
      <c r="K385" s="12"/>
      <c r="L385" s="16"/>
      <c r="M385" s="16"/>
      <c r="N385" s="106"/>
      <c r="O385" s="12"/>
      <c r="P385" s="106"/>
      <c r="Q385" s="12"/>
      <c r="R385" s="16"/>
      <c r="S385" s="12"/>
      <c r="T385" s="16"/>
      <c r="U385" s="16"/>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4"/>
  <sheetViews>
    <sheetView zoomScale="85" zoomScaleNormal="85" workbookViewId="0">
      <selection activeCell="B3" sqref="B3:C57"/>
    </sheetView>
  </sheetViews>
  <sheetFormatPr baseColWidth="10" defaultColWidth="11.44140625" defaultRowHeight="13.2" x14ac:dyDescent="0.25"/>
  <cols>
    <col min="1" max="1" width="39.109375" customWidth="1"/>
    <col min="2" max="2" width="19.88671875" style="4" customWidth="1"/>
    <col min="3" max="3" width="7" customWidth="1"/>
  </cols>
  <sheetData>
    <row r="1" spans="1:3" ht="17.399999999999999" x14ac:dyDescent="0.3">
      <c r="B1" s="7"/>
    </row>
    <row r="2" spans="1:3" x14ac:dyDescent="0.25">
      <c r="B2" s="71"/>
    </row>
    <row r="3" spans="1:3" x14ac:dyDescent="0.25">
      <c r="A3" s="71"/>
      <c r="B3" s="11"/>
      <c r="C3" s="11"/>
    </row>
    <row r="4" spans="1:3" x14ac:dyDescent="0.25">
      <c r="A4" s="31"/>
      <c r="B4" s="11"/>
      <c r="C4" s="11"/>
    </row>
    <row r="5" spans="1:3" x14ac:dyDescent="0.25">
      <c r="A5" s="31"/>
      <c r="B5" s="11"/>
      <c r="C5" s="11"/>
    </row>
    <row r="6" spans="1:3" s="10" customFormat="1" ht="12" customHeight="1" x14ac:dyDescent="0.25">
      <c r="A6" s="31"/>
      <c r="B6" s="11"/>
      <c r="C6" s="11"/>
    </row>
    <row r="7" spans="1:3" x14ac:dyDescent="0.25">
      <c r="A7" s="11"/>
      <c r="B7" s="11"/>
      <c r="C7" s="11"/>
    </row>
    <row r="8" spans="1:3" x14ac:dyDescent="0.25">
      <c r="A8" s="11"/>
      <c r="B8" s="11"/>
      <c r="C8" s="11"/>
    </row>
    <row r="9" spans="1:3" x14ac:dyDescent="0.25">
      <c r="A9" s="11"/>
      <c r="B9" s="11"/>
      <c r="C9" s="11"/>
    </row>
    <row r="10" spans="1:3" x14ac:dyDescent="0.25">
      <c r="A10" s="11"/>
      <c r="B10" s="11"/>
      <c r="C10" s="11"/>
    </row>
    <row r="11" spans="1:3" x14ac:dyDescent="0.25">
      <c r="A11" s="11"/>
      <c r="B11" s="11"/>
      <c r="C11" s="11"/>
    </row>
    <row r="12" spans="1:3" x14ac:dyDescent="0.25">
      <c r="A12" s="11"/>
      <c r="B12" s="11"/>
      <c r="C12" s="11"/>
    </row>
    <row r="13" spans="1:3" x14ac:dyDescent="0.25">
      <c r="A13" s="11"/>
      <c r="B13" s="11"/>
      <c r="C13" s="11"/>
    </row>
    <row r="14" spans="1:3" x14ac:dyDescent="0.25">
      <c r="A14" s="11"/>
      <c r="B14" s="11"/>
      <c r="C14" s="11"/>
    </row>
    <row r="15" spans="1:3" x14ac:dyDescent="0.25">
      <c r="A15" s="11"/>
      <c r="B15" s="11"/>
      <c r="C15" s="11"/>
    </row>
    <row r="16" spans="1:3" x14ac:dyDescent="0.25">
      <c r="A16" s="11"/>
      <c r="B16" s="11"/>
      <c r="C16" s="11"/>
    </row>
    <row r="17" spans="1:3" x14ac:dyDescent="0.25">
      <c r="A17" s="11"/>
      <c r="B17" s="11"/>
      <c r="C17" s="11"/>
    </row>
    <row r="18" spans="1:3" x14ac:dyDescent="0.25">
      <c r="A18" s="11"/>
      <c r="B18" s="11"/>
      <c r="C18" s="11"/>
    </row>
    <row r="19" spans="1:3" x14ac:dyDescent="0.25">
      <c r="A19" s="11"/>
      <c r="B19" s="11"/>
      <c r="C19" s="11"/>
    </row>
    <row r="20" spans="1:3" x14ac:dyDescent="0.25">
      <c r="A20" s="11"/>
      <c r="B20" s="11"/>
      <c r="C20" s="11"/>
    </row>
    <row r="21" spans="1:3" x14ac:dyDescent="0.25">
      <c r="A21" s="11"/>
      <c r="B21" s="11"/>
      <c r="C21" s="11"/>
    </row>
    <row r="22" spans="1:3" x14ac:dyDescent="0.25">
      <c r="A22" s="11"/>
      <c r="B22" s="11"/>
      <c r="C22" s="11"/>
    </row>
    <row r="23" spans="1:3" x14ac:dyDescent="0.25">
      <c r="A23" s="11"/>
      <c r="B23" s="11"/>
      <c r="C23" s="11"/>
    </row>
    <row r="24" spans="1:3" x14ac:dyDescent="0.25">
      <c r="A24" s="11"/>
      <c r="B24" s="11"/>
      <c r="C24" s="11"/>
    </row>
    <row r="25" spans="1:3" x14ac:dyDescent="0.25">
      <c r="A25" s="31"/>
      <c r="B25" s="11"/>
      <c r="C25" s="11"/>
    </row>
    <row r="26" spans="1:3" s="10" customFormat="1" ht="8.25" customHeight="1" x14ac:dyDescent="0.25">
      <c r="A26" s="31"/>
      <c r="B26" s="11"/>
      <c r="C26" s="11"/>
    </row>
    <row r="27" spans="1:3" x14ac:dyDescent="0.25">
      <c r="A27" s="1"/>
      <c r="B27" s="11"/>
      <c r="C27" s="11"/>
    </row>
    <row r="28" spans="1:3" x14ac:dyDescent="0.25">
      <c r="A28" s="1"/>
      <c r="B28" s="11"/>
      <c r="C28" s="11"/>
    </row>
    <row r="29" spans="1:3" x14ac:dyDescent="0.25">
      <c r="A29" s="1"/>
      <c r="B29" s="11"/>
      <c r="C29" s="11"/>
    </row>
    <row r="30" spans="1:3" x14ac:dyDescent="0.25">
      <c r="A30" s="11"/>
      <c r="B30" s="11"/>
      <c r="C30" s="11"/>
    </row>
    <row r="31" spans="1:3" x14ac:dyDescent="0.25">
      <c r="A31" s="11"/>
      <c r="B31" s="11"/>
      <c r="C31" s="11"/>
    </row>
    <row r="32" spans="1:3" ht="15.75" customHeight="1" x14ac:dyDescent="0.25">
      <c r="A32" s="31"/>
      <c r="B32" s="11"/>
      <c r="C32" s="11"/>
    </row>
    <row r="33" spans="1:3" ht="9.75" customHeight="1" x14ac:dyDescent="0.25">
      <c r="A33" s="31"/>
      <c r="B33" s="11"/>
      <c r="C33" s="11"/>
    </row>
    <row r="34" spans="1:3" x14ac:dyDescent="0.25">
      <c r="A34" s="31"/>
      <c r="B34" s="11"/>
      <c r="C34" s="11"/>
    </row>
    <row r="35" spans="1:3" x14ac:dyDescent="0.25">
      <c r="A35" s="1"/>
      <c r="B35" s="11"/>
      <c r="C35" s="11"/>
    </row>
    <row r="36" spans="1:3" x14ac:dyDescent="0.25">
      <c r="A36" s="31"/>
      <c r="B36" s="11"/>
      <c r="C36" s="11"/>
    </row>
    <row r="37" spans="1:3" x14ac:dyDescent="0.25">
      <c r="A37" s="1"/>
      <c r="B37" s="11"/>
      <c r="C37" s="11"/>
    </row>
    <row r="38" spans="1:3" x14ac:dyDescent="0.25">
      <c r="A38" s="1"/>
      <c r="B38" s="11"/>
      <c r="C38" s="11"/>
    </row>
    <row r="39" spans="1:3" x14ac:dyDescent="0.25">
      <c r="A39" s="1"/>
      <c r="B39" s="11"/>
      <c r="C39" s="11"/>
    </row>
    <row r="40" spans="1:3" x14ac:dyDescent="0.25">
      <c r="A40" s="1"/>
      <c r="B40" s="11"/>
      <c r="C40" s="11"/>
    </row>
    <row r="41" spans="1:3" x14ac:dyDescent="0.25">
      <c r="A41" s="1"/>
      <c r="B41" s="11"/>
      <c r="C41" s="11"/>
    </row>
    <row r="42" spans="1:3" x14ac:dyDescent="0.25">
      <c r="A42" s="1"/>
      <c r="B42" s="11"/>
      <c r="C42" s="11"/>
    </row>
    <row r="43" spans="1:3" x14ac:dyDescent="0.25">
      <c r="A43" s="11"/>
      <c r="B43" s="11"/>
      <c r="C43" s="11"/>
    </row>
    <row r="44" spans="1:3" x14ac:dyDescent="0.25">
      <c r="A44" s="11"/>
      <c r="B44" s="11"/>
      <c r="C44" s="11"/>
    </row>
    <row r="45" spans="1:3" x14ac:dyDescent="0.25">
      <c r="A45" s="11"/>
      <c r="B45" s="11"/>
      <c r="C45" s="11"/>
    </row>
    <row r="46" spans="1:3" x14ac:dyDescent="0.25">
      <c r="A46" s="11"/>
      <c r="B46" s="11"/>
      <c r="C46" s="11"/>
    </row>
    <row r="47" spans="1:3" x14ac:dyDescent="0.25">
      <c r="A47" s="11"/>
      <c r="B47" s="11"/>
      <c r="C47" s="11"/>
    </row>
    <row r="48" spans="1:3" x14ac:dyDescent="0.25">
      <c r="A48" s="1"/>
      <c r="B48" s="11"/>
      <c r="C48" s="11"/>
    </row>
    <row r="49" spans="1:3" x14ac:dyDescent="0.25">
      <c r="A49" s="38"/>
      <c r="B49" s="11"/>
      <c r="C49" s="11"/>
    </row>
    <row r="50" spans="1:3" x14ac:dyDescent="0.25">
      <c r="A50" s="38"/>
      <c r="B50" s="11"/>
      <c r="C50" s="11"/>
    </row>
    <row r="51" spans="1:3" x14ac:dyDescent="0.25">
      <c r="B51" s="11"/>
      <c r="C51" s="11"/>
    </row>
    <row r="52" spans="1:3" x14ac:dyDescent="0.25">
      <c r="A52" s="30"/>
      <c r="B52" s="11"/>
      <c r="C52" s="11"/>
    </row>
    <row r="53" spans="1:3" x14ac:dyDescent="0.25">
      <c r="B53" s="11"/>
      <c r="C53" s="11"/>
    </row>
    <row r="54" spans="1:3" x14ac:dyDescent="0.25">
      <c r="B54" s="11"/>
      <c r="C54" s="11"/>
    </row>
    <row r="55" spans="1:3" x14ac:dyDescent="0.25">
      <c r="B55" s="11"/>
      <c r="C55" s="11"/>
    </row>
    <row r="56" spans="1:3" x14ac:dyDescent="0.25">
      <c r="B56" s="11"/>
      <c r="C56" s="11"/>
    </row>
    <row r="57" spans="1:3" x14ac:dyDescent="0.25">
      <c r="B57" s="11"/>
      <c r="C57" s="11"/>
    </row>
    <row r="59" spans="1:3" x14ac:dyDescent="0.25">
      <c r="B59" s="102"/>
      <c r="C59" s="31"/>
    </row>
    <row r="60" spans="1:3" x14ac:dyDescent="0.25">
      <c r="B60" s="102"/>
      <c r="C60" s="31"/>
    </row>
    <row r="61" spans="1:3" x14ac:dyDescent="0.25">
      <c r="B61" s="102"/>
      <c r="C61" s="31"/>
    </row>
    <row r="62" spans="1:3" x14ac:dyDescent="0.25">
      <c r="B62" s="102"/>
      <c r="C62" s="31"/>
    </row>
    <row r="63" spans="1:3" x14ac:dyDescent="0.25">
      <c r="B63" s="102"/>
      <c r="C63" s="31"/>
    </row>
    <row r="64" spans="1:3" x14ac:dyDescent="0.25">
      <c r="B64" s="102"/>
      <c r="C64" s="9"/>
    </row>
    <row r="65" spans="2:3" x14ac:dyDescent="0.25">
      <c r="B65" s="102"/>
      <c r="C65" s="9"/>
    </row>
    <row r="66" spans="2:3" x14ac:dyDescent="0.25">
      <c r="B66" s="102"/>
      <c r="C66" s="9"/>
    </row>
    <row r="67" spans="2:3" x14ac:dyDescent="0.25">
      <c r="B67" s="102"/>
      <c r="C67" s="9"/>
    </row>
    <row r="68" spans="2:3" x14ac:dyDescent="0.25">
      <c r="B68" s="102"/>
      <c r="C68" s="9"/>
    </row>
    <row r="69" spans="2:3" x14ac:dyDescent="0.25">
      <c r="B69" s="102"/>
      <c r="C69" s="9"/>
    </row>
    <row r="70" spans="2:3" x14ac:dyDescent="0.25">
      <c r="B70" s="102"/>
      <c r="C70" s="9"/>
    </row>
    <row r="71" spans="2:3" x14ac:dyDescent="0.25">
      <c r="B71" s="102"/>
      <c r="C71" s="9"/>
    </row>
    <row r="72" spans="2:3" x14ac:dyDescent="0.25">
      <c r="B72" s="102"/>
      <c r="C72" s="9"/>
    </row>
    <row r="73" spans="2:3" x14ac:dyDescent="0.25">
      <c r="B73" s="102"/>
      <c r="C73" s="9"/>
    </row>
    <row r="74" spans="2:3" x14ac:dyDescent="0.25">
      <c r="B74" s="102"/>
      <c r="C74" s="9"/>
    </row>
    <row r="75" spans="2:3" x14ac:dyDescent="0.25">
      <c r="B75" s="102"/>
      <c r="C75" s="9"/>
    </row>
    <row r="76" spans="2:3" x14ac:dyDescent="0.25">
      <c r="B76" s="102"/>
      <c r="C76" s="9"/>
    </row>
    <row r="77" spans="2:3" x14ac:dyDescent="0.25">
      <c r="B77" s="102"/>
      <c r="C77" s="9"/>
    </row>
    <row r="78" spans="2:3" x14ac:dyDescent="0.25">
      <c r="B78" s="102"/>
      <c r="C78" s="9"/>
    </row>
    <row r="79" spans="2:3" x14ac:dyDescent="0.25">
      <c r="B79" s="102"/>
      <c r="C79" s="9"/>
    </row>
    <row r="80" spans="2:3" x14ac:dyDescent="0.25">
      <c r="B80" s="102"/>
      <c r="C80" s="9"/>
    </row>
    <row r="81" spans="2:3" x14ac:dyDescent="0.25">
      <c r="B81" s="102"/>
      <c r="C81" s="9"/>
    </row>
    <row r="82" spans="2:3" x14ac:dyDescent="0.25">
      <c r="B82" s="102"/>
      <c r="C82" s="9"/>
    </row>
    <row r="83" spans="2:3" x14ac:dyDescent="0.25">
      <c r="B83" s="102"/>
      <c r="C83" s="9"/>
    </row>
    <row r="84" spans="2:3" x14ac:dyDescent="0.25">
      <c r="B84" s="102"/>
      <c r="C84" s="9"/>
    </row>
    <row r="85" spans="2:3" x14ac:dyDescent="0.25">
      <c r="B85" s="102"/>
      <c r="C85" s="9"/>
    </row>
    <row r="86" spans="2:3" x14ac:dyDescent="0.25">
      <c r="B86" s="102"/>
      <c r="C86" s="9"/>
    </row>
    <row r="87" spans="2:3" x14ac:dyDescent="0.25">
      <c r="B87" s="102"/>
      <c r="C87" s="9"/>
    </row>
    <row r="88" spans="2:3" x14ac:dyDescent="0.25">
      <c r="B88" s="102"/>
      <c r="C88" s="9"/>
    </row>
    <row r="89" spans="2:3" x14ac:dyDescent="0.25">
      <c r="B89" s="102"/>
      <c r="C89" s="9"/>
    </row>
    <row r="90" spans="2:3" x14ac:dyDescent="0.25">
      <c r="B90" s="102"/>
      <c r="C90" s="9"/>
    </row>
    <row r="91" spans="2:3" x14ac:dyDescent="0.25">
      <c r="C91" s="3"/>
    </row>
    <row r="92" spans="2:3" x14ac:dyDescent="0.25">
      <c r="C92" s="3"/>
    </row>
    <row r="93" spans="2:3" x14ac:dyDescent="0.25">
      <c r="C93" s="3"/>
    </row>
    <row r="94" spans="2:3" x14ac:dyDescent="0.25">
      <c r="C94" s="3"/>
    </row>
    <row r="95" spans="2:3" x14ac:dyDescent="0.25">
      <c r="C95" s="3"/>
    </row>
    <row r="96" spans="2:3" x14ac:dyDescent="0.25">
      <c r="C96" s="3"/>
    </row>
    <row r="97" spans="3:3" x14ac:dyDescent="0.25">
      <c r="C97" s="3"/>
    </row>
    <row r="98" spans="3:3" x14ac:dyDescent="0.25">
      <c r="C98" s="3"/>
    </row>
    <row r="99" spans="3:3" x14ac:dyDescent="0.25">
      <c r="C99" s="3"/>
    </row>
    <row r="100" spans="3:3" x14ac:dyDescent="0.25">
      <c r="C100" s="3"/>
    </row>
    <row r="101" spans="3:3" x14ac:dyDescent="0.25">
      <c r="C101" s="3"/>
    </row>
    <row r="102" spans="3:3" x14ac:dyDescent="0.25">
      <c r="C102" s="3"/>
    </row>
    <row r="103" spans="3:3" x14ac:dyDescent="0.25">
      <c r="C103" s="3"/>
    </row>
    <row r="104" spans="3:3" x14ac:dyDescent="0.25">
      <c r="C104" s="3"/>
    </row>
  </sheetData>
  <pageMargins left="0.78740157499999996" right="0.78740157499999996" top="0.984251969" bottom="0.984251969" header="0.5" footer="0.5"/>
  <pageSetup paperSize="8" scale="63" orientation="landscape" horizontalDpi="200" verticalDpi="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61"/>
  <sheetViews>
    <sheetView workbookViewId="0">
      <selection activeCell="M73" sqref="M73"/>
    </sheetView>
  </sheetViews>
  <sheetFormatPr baseColWidth="10" defaultColWidth="11.44140625" defaultRowHeight="13.2" x14ac:dyDescent="0.25"/>
  <cols>
    <col min="5" max="5" width="34.44140625" customWidth="1"/>
  </cols>
  <sheetData>
    <row r="2" spans="2:11" ht="13.8" x14ac:dyDescent="0.25">
      <c r="B2" s="179" t="s">
        <v>288</v>
      </c>
    </row>
    <row r="3" spans="2:11" ht="8.25" customHeight="1" x14ac:dyDescent="0.25"/>
    <row r="4" spans="2:11" x14ac:dyDescent="0.25">
      <c r="B4" s="347" t="s">
        <v>85</v>
      </c>
      <c r="C4" s="348"/>
      <c r="D4" s="348"/>
      <c r="E4" s="191"/>
      <c r="F4" s="348" t="s">
        <v>287</v>
      </c>
      <c r="G4" s="348"/>
      <c r="H4" s="349"/>
    </row>
    <row r="5" spans="2:11" x14ac:dyDescent="0.25">
      <c r="B5" s="147" t="s">
        <v>259</v>
      </c>
      <c r="C5" s="148" t="s">
        <v>260</v>
      </c>
      <c r="D5" s="149" t="s">
        <v>261</v>
      </c>
      <c r="E5" s="148"/>
      <c r="F5" s="148" t="s">
        <v>259</v>
      </c>
      <c r="G5" s="148" t="s">
        <v>260</v>
      </c>
      <c r="H5" s="149" t="s">
        <v>261</v>
      </c>
    </row>
    <row r="6" spans="2:11" ht="14.4" x14ac:dyDescent="0.3">
      <c r="B6" s="150">
        <v>0</v>
      </c>
      <c r="C6" s="151">
        <v>0</v>
      </c>
      <c r="D6" s="152">
        <v>0</v>
      </c>
      <c r="E6" s="153" t="s">
        <v>262</v>
      </c>
      <c r="F6" s="154">
        <v>0</v>
      </c>
      <c r="G6" s="151">
        <v>0</v>
      </c>
      <c r="H6" s="152">
        <v>0</v>
      </c>
    </row>
    <row r="7" spans="2:11" ht="14.4" x14ac:dyDescent="0.3">
      <c r="B7" s="154">
        <f>+F7-F35</f>
        <v>2514.3630500000008</v>
      </c>
      <c r="C7" s="151">
        <f>+G7-G35</f>
        <v>1771</v>
      </c>
      <c r="D7" s="152">
        <f>+H7-H35</f>
        <v>1352</v>
      </c>
      <c r="E7" s="153" t="s">
        <v>263</v>
      </c>
      <c r="F7" s="154">
        <f>SUM('Regnsk ON pr mars'!P6:P10)*-1/1000</f>
        <v>5476.3630500000008</v>
      </c>
      <c r="G7" s="151">
        <v>4646</v>
      </c>
      <c r="H7" s="152">
        <v>3342</v>
      </c>
    </row>
    <row r="8" spans="2:11" ht="14.4" x14ac:dyDescent="0.3">
      <c r="B8" s="154">
        <v>0</v>
      </c>
      <c r="C8" s="151">
        <v>0</v>
      </c>
      <c r="D8" s="152">
        <v>0</v>
      </c>
      <c r="E8" s="153" t="s">
        <v>264</v>
      </c>
      <c r="F8" s="154">
        <v>0</v>
      </c>
      <c r="G8" s="151">
        <v>0</v>
      </c>
      <c r="H8" s="152">
        <v>0</v>
      </c>
    </row>
    <row r="9" spans="2:11" ht="14.4" x14ac:dyDescent="0.3">
      <c r="B9" s="154">
        <v>0</v>
      </c>
      <c r="C9" s="151">
        <v>0</v>
      </c>
      <c r="D9" s="152">
        <v>0</v>
      </c>
      <c r="E9" s="153" t="s">
        <v>265</v>
      </c>
      <c r="F9" s="154">
        <v>0</v>
      </c>
      <c r="G9" s="151">
        <v>0</v>
      </c>
      <c r="H9" s="152">
        <v>0</v>
      </c>
    </row>
    <row r="10" spans="2:11" ht="14.4" x14ac:dyDescent="0.3">
      <c r="B10" s="155">
        <f>SUM(B6:B9)</f>
        <v>2514.3630500000008</v>
      </c>
      <c r="C10" s="156">
        <f>SUM(C6:C9)</f>
        <v>1771</v>
      </c>
      <c r="D10" s="157">
        <f>SUM(D6:D9)</f>
        <v>1352</v>
      </c>
      <c r="E10" s="158" t="s">
        <v>266</v>
      </c>
      <c r="F10" s="155">
        <f>SUM(F6:F9)</f>
        <v>5476.3630500000008</v>
      </c>
      <c r="G10" s="156">
        <f>SUM(G6:G9)</f>
        <v>4646</v>
      </c>
      <c r="H10" s="157">
        <f>SUM(H6:H9)</f>
        <v>3342</v>
      </c>
    </row>
    <row r="11" spans="2:11" ht="14.4" x14ac:dyDescent="0.3">
      <c r="B11" s="154">
        <v>0</v>
      </c>
      <c r="C11" s="151">
        <v>0</v>
      </c>
      <c r="D11" s="152">
        <v>0</v>
      </c>
      <c r="E11" s="153" t="s">
        <v>267</v>
      </c>
      <c r="F11" s="154">
        <v>0</v>
      </c>
      <c r="G11" s="151">
        <v>0</v>
      </c>
      <c r="H11" s="152">
        <v>0</v>
      </c>
    </row>
    <row r="12" spans="2:11" ht="14.4" x14ac:dyDescent="0.3">
      <c r="B12" s="154">
        <f t="shared" ref="B12:D13" si="0">+F12-F40</f>
        <v>620.80235206479983</v>
      </c>
      <c r="C12" s="151">
        <f t="shared" si="0"/>
        <v>1128</v>
      </c>
      <c r="D12" s="152">
        <f t="shared" si="0"/>
        <v>1277</v>
      </c>
      <c r="E12" s="153" t="s">
        <v>268</v>
      </c>
      <c r="F12" s="154">
        <f>SUM('Personalkost ON pr mars'!V66)/1000</f>
        <v>2878.8023520647998</v>
      </c>
      <c r="G12" s="151">
        <v>3384</v>
      </c>
      <c r="H12" s="152">
        <v>3716</v>
      </c>
    </row>
    <row r="13" spans="2:11" ht="14.4" x14ac:dyDescent="0.3">
      <c r="B13" s="154">
        <f t="shared" si="0"/>
        <v>1819.307573895408</v>
      </c>
      <c r="C13" s="151">
        <f t="shared" si="0"/>
        <v>746</v>
      </c>
      <c r="D13" s="152">
        <f t="shared" si="0"/>
        <v>502</v>
      </c>
      <c r="E13" s="153" t="s">
        <v>269</v>
      </c>
      <c r="F13" s="154">
        <f>SUM('Regnsk ON pr mars'!P54:P77)/1000+SUM('Regnsk ON pr mars'!P85:P172)/1000</f>
        <v>2939.307573895408</v>
      </c>
      <c r="G13" s="151">
        <v>2238</v>
      </c>
      <c r="H13" s="152">
        <v>983</v>
      </c>
    </row>
    <row r="14" spans="2:11" ht="14.4" x14ac:dyDescent="0.3">
      <c r="B14" s="154">
        <v>0</v>
      </c>
      <c r="C14" s="151">
        <v>0</v>
      </c>
      <c r="D14" s="152">
        <v>0</v>
      </c>
      <c r="E14" s="153" t="s">
        <v>270</v>
      </c>
      <c r="F14" s="154">
        <v>0</v>
      </c>
      <c r="G14" s="151">
        <v>0</v>
      </c>
      <c r="H14" s="152">
        <v>0</v>
      </c>
    </row>
    <row r="15" spans="2:11" ht="14.4" x14ac:dyDescent="0.3">
      <c r="B15" s="159">
        <f>+B10-B11-B12-B13+B14</f>
        <v>74.253124039792965</v>
      </c>
      <c r="C15" s="160">
        <f>+C10-C11-C12-C13+C14</f>
        <v>-103</v>
      </c>
      <c r="D15" s="161">
        <f>+D10-D11-D12-D13+D14</f>
        <v>-427</v>
      </c>
      <c r="E15" s="162" t="s">
        <v>271</v>
      </c>
      <c r="F15" s="159">
        <f>+F10-F12-F13+F14</f>
        <v>-341.74687596020703</v>
      </c>
      <c r="G15" s="160">
        <f>+G10-G11-G12-G13+G14</f>
        <v>-976</v>
      </c>
      <c r="H15" s="161">
        <f>+H10-H11-H12-H13+H14</f>
        <v>-1357</v>
      </c>
      <c r="J15" s="178"/>
      <c r="K15" s="178"/>
    </row>
    <row r="16" spans="2:11" ht="14.4" x14ac:dyDescent="0.3">
      <c r="B16" s="154">
        <f>+F16-F44</f>
        <v>7.0534872193877547</v>
      </c>
      <c r="C16" s="151">
        <f>+G16-G44</f>
        <v>6</v>
      </c>
      <c r="D16" s="152">
        <f>+H16-H44</f>
        <v>0</v>
      </c>
      <c r="E16" s="153" t="s">
        <v>272</v>
      </c>
      <c r="F16" s="154">
        <f>'Regnsk ON pr mars'!P80/1000</f>
        <v>17.053487219387755</v>
      </c>
      <c r="G16" s="151">
        <v>18</v>
      </c>
      <c r="H16" s="152">
        <v>0</v>
      </c>
      <c r="J16" s="178"/>
    </row>
    <row r="17" spans="2:10" ht="14.4" x14ac:dyDescent="0.3">
      <c r="B17" s="154">
        <f>+B11+B12+B13+B16</f>
        <v>2447.1634131795954</v>
      </c>
      <c r="C17" s="151">
        <f>+C11+C12+C13+C16</f>
        <v>1880</v>
      </c>
      <c r="D17" s="152">
        <f>+D11+D12+D13+D16</f>
        <v>1779</v>
      </c>
      <c r="E17" s="163" t="s">
        <v>283</v>
      </c>
      <c r="F17" s="154">
        <f>+F11+F12+F13+F16</f>
        <v>5835.1634131795954</v>
      </c>
      <c r="G17" s="151">
        <f>+G11+G12+G13+G16</f>
        <v>5640</v>
      </c>
      <c r="H17" s="152">
        <f>+H11+H12+H13+H16</f>
        <v>4699</v>
      </c>
      <c r="J17" s="178"/>
    </row>
    <row r="18" spans="2:10" ht="14.4" x14ac:dyDescent="0.3">
      <c r="B18" s="159">
        <f>+B10-B17</f>
        <v>67.199636820405431</v>
      </c>
      <c r="C18" s="160">
        <f>+C10-C17</f>
        <v>-109</v>
      </c>
      <c r="D18" s="161">
        <f>+D10-D17</f>
        <v>-427</v>
      </c>
      <c r="E18" s="162" t="s">
        <v>274</v>
      </c>
      <c r="F18" s="159">
        <f>+F10-F17</f>
        <v>-358.80036317959457</v>
      </c>
      <c r="G18" s="160">
        <f>+G10-G17</f>
        <v>-994</v>
      </c>
      <c r="H18" s="161">
        <f>+H10-H17</f>
        <v>-1357</v>
      </c>
    </row>
    <row r="19" spans="2:10" ht="14.4" x14ac:dyDescent="0.3">
      <c r="B19" s="154">
        <v>0</v>
      </c>
      <c r="C19" s="151">
        <v>0</v>
      </c>
      <c r="D19" s="152">
        <v>0</v>
      </c>
      <c r="E19" s="153" t="s">
        <v>275</v>
      </c>
      <c r="F19" s="154">
        <v>0</v>
      </c>
      <c r="G19" s="151">
        <v>0</v>
      </c>
      <c r="H19" s="152">
        <v>0</v>
      </c>
    </row>
    <row r="20" spans="2:10" ht="14.4" x14ac:dyDescent="0.3">
      <c r="B20" s="154">
        <v>0</v>
      </c>
      <c r="C20" s="151">
        <v>0</v>
      </c>
      <c r="D20" s="152">
        <v>0</v>
      </c>
      <c r="E20" s="153" t="s">
        <v>276</v>
      </c>
      <c r="F20" s="154">
        <v>0</v>
      </c>
      <c r="G20" s="151">
        <v>0</v>
      </c>
      <c r="H20" s="152">
        <v>0</v>
      </c>
    </row>
    <row r="21" spans="2:10" ht="14.4" x14ac:dyDescent="0.3">
      <c r="B21" s="159">
        <f>+B18-B19-B20</f>
        <v>67.199636820405431</v>
      </c>
      <c r="C21" s="160">
        <f>+C18-C19-C20</f>
        <v>-109</v>
      </c>
      <c r="D21" s="161">
        <f>+D18-D19-D20</f>
        <v>-427</v>
      </c>
      <c r="E21" s="162" t="s">
        <v>277</v>
      </c>
      <c r="F21" s="159">
        <f>+F18-F19-F20</f>
        <v>-358.80036317959457</v>
      </c>
      <c r="G21" s="160">
        <f>+G18-G19-G20</f>
        <v>-994</v>
      </c>
      <c r="H21" s="161">
        <f>+H18-H19-H20</f>
        <v>-1357</v>
      </c>
    </row>
    <row r="22" spans="2:10" ht="14.4" x14ac:dyDescent="0.3">
      <c r="B22" s="164"/>
      <c r="C22" s="165"/>
      <c r="D22" s="166"/>
      <c r="E22" s="167"/>
      <c r="F22" s="164"/>
      <c r="G22" s="165"/>
      <c r="H22" s="168"/>
    </row>
    <row r="23" spans="2:10" ht="14.4" x14ac:dyDescent="0.3">
      <c r="B23" s="169">
        <f>+B15/B10</f>
        <v>2.9531584167923935E-2</v>
      </c>
      <c r="C23" s="170">
        <f>+C15/C10</f>
        <v>-5.8159232072275552E-2</v>
      </c>
      <c r="D23" s="171">
        <f>+D15/D10</f>
        <v>-0.31582840236686388</v>
      </c>
      <c r="E23" s="172" t="s">
        <v>284</v>
      </c>
      <c r="F23" s="169">
        <f>+F15/F10</f>
        <v>-6.2403984695683569E-2</v>
      </c>
      <c r="G23" s="170">
        <f>+G15/G10</f>
        <v>-0.21007318123116658</v>
      </c>
      <c r="H23" s="171">
        <f>+H15/H10</f>
        <v>-0.40604428485936567</v>
      </c>
    </row>
    <row r="24" spans="2:10" ht="14.4" x14ac:dyDescent="0.3">
      <c r="B24" s="169">
        <f>+B18/B10</f>
        <v>2.6726306219145804E-2</v>
      </c>
      <c r="C24" s="170">
        <f>+C18/C10</f>
        <v>-6.154714850367024E-2</v>
      </c>
      <c r="D24" s="171">
        <f>+D18/D10</f>
        <v>-0.31582840236686388</v>
      </c>
      <c r="E24" s="172" t="s">
        <v>285</v>
      </c>
      <c r="F24" s="169">
        <f>+F18/F10</f>
        <v>-6.551800161963231E-2</v>
      </c>
      <c r="G24" s="170">
        <f>+G18/G10</f>
        <v>-0.21394748170469222</v>
      </c>
      <c r="H24" s="171">
        <f>+H18/H10</f>
        <v>-0.40604428485936567</v>
      </c>
    </row>
    <row r="25" spans="2:10" ht="14.4" x14ac:dyDescent="0.3">
      <c r="B25" s="173">
        <f>+B21/B10</f>
        <v>2.6726306219145804E-2</v>
      </c>
      <c r="C25" s="174">
        <f>+C21/C10</f>
        <v>-6.154714850367024E-2</v>
      </c>
      <c r="D25" s="175">
        <f>+D21/D10</f>
        <v>-0.31582840236686388</v>
      </c>
      <c r="E25" s="176" t="s">
        <v>286</v>
      </c>
      <c r="F25" s="173">
        <f>+F21/F10</f>
        <v>-6.551800161963231E-2</v>
      </c>
      <c r="G25" s="174">
        <f>+G21/G10</f>
        <v>-0.21394748170469222</v>
      </c>
      <c r="H25" s="175">
        <f>+H21/H10</f>
        <v>-0.40604428485936567</v>
      </c>
    </row>
    <row r="29" spans="2:10" hidden="1" x14ac:dyDescent="0.25"/>
    <row r="30" spans="2:10" hidden="1" x14ac:dyDescent="0.25"/>
    <row r="31" spans="2:10" hidden="1" x14ac:dyDescent="0.25"/>
    <row r="32" spans="2:10" hidden="1" x14ac:dyDescent="0.25">
      <c r="B32" s="347" t="s">
        <v>282</v>
      </c>
      <c r="C32" s="348"/>
      <c r="D32" s="348"/>
      <c r="E32" s="146"/>
      <c r="F32" s="348" t="s">
        <v>281</v>
      </c>
      <c r="G32" s="348"/>
      <c r="H32" s="349"/>
    </row>
    <row r="33" spans="2:10" hidden="1" x14ac:dyDescent="0.25">
      <c r="B33" s="147" t="s">
        <v>259</v>
      </c>
      <c r="C33" s="148" t="s">
        <v>260</v>
      </c>
      <c r="D33" s="148" t="s">
        <v>261</v>
      </c>
      <c r="E33" s="148"/>
      <c r="F33" s="148" t="s">
        <v>259</v>
      </c>
      <c r="G33" s="148" t="s">
        <v>260</v>
      </c>
      <c r="H33" s="149" t="s">
        <v>261</v>
      </c>
    </row>
    <row r="34" spans="2:10" ht="14.4" hidden="1" x14ac:dyDescent="0.3">
      <c r="B34" s="150"/>
      <c r="C34" s="151"/>
      <c r="D34" s="152"/>
      <c r="E34" s="153" t="s">
        <v>262</v>
      </c>
      <c r="F34" s="154"/>
      <c r="G34" s="151"/>
      <c r="H34" s="152"/>
    </row>
    <row r="35" spans="2:10" ht="14.4" hidden="1" x14ac:dyDescent="0.3">
      <c r="B35" s="154">
        <v>2962</v>
      </c>
      <c r="C35" s="151">
        <v>2835</v>
      </c>
      <c r="D35" s="152">
        <v>1990</v>
      </c>
      <c r="E35" s="153" t="s">
        <v>263</v>
      </c>
      <c r="F35" s="154">
        <v>2962</v>
      </c>
      <c r="G35" s="151">
        <v>2875</v>
      </c>
      <c r="H35" s="152">
        <v>1990</v>
      </c>
    </row>
    <row r="36" spans="2:10" ht="14.4" hidden="1" x14ac:dyDescent="0.3">
      <c r="B36" s="154"/>
      <c r="C36" s="151"/>
      <c r="D36" s="152"/>
      <c r="E36" s="153" t="s">
        <v>264</v>
      </c>
      <c r="F36" s="154"/>
      <c r="G36" s="151"/>
      <c r="H36" s="152"/>
    </row>
    <row r="37" spans="2:10" ht="14.4" hidden="1" x14ac:dyDescent="0.3">
      <c r="B37" s="154"/>
      <c r="C37" s="151"/>
      <c r="D37" s="152"/>
      <c r="E37" s="153" t="s">
        <v>265</v>
      </c>
      <c r="F37" s="154"/>
      <c r="G37" s="151"/>
      <c r="H37" s="152"/>
    </row>
    <row r="38" spans="2:10" ht="14.4" hidden="1" x14ac:dyDescent="0.3">
      <c r="B38" s="155">
        <v>2962</v>
      </c>
      <c r="C38" s="156">
        <v>2875</v>
      </c>
      <c r="D38" s="157">
        <v>1990</v>
      </c>
      <c r="E38" s="158" t="s">
        <v>266</v>
      </c>
      <c r="F38" s="155">
        <v>2962</v>
      </c>
      <c r="G38" s="156">
        <v>2875</v>
      </c>
      <c r="H38" s="157">
        <v>1990</v>
      </c>
    </row>
    <row r="39" spans="2:10" ht="14.4" hidden="1" x14ac:dyDescent="0.3">
      <c r="B39" s="154">
        <v>0</v>
      </c>
      <c r="C39" s="151">
        <v>0</v>
      </c>
      <c r="D39" s="152">
        <v>0</v>
      </c>
      <c r="E39" s="153" t="s">
        <v>267</v>
      </c>
      <c r="F39" s="154">
        <v>0</v>
      </c>
      <c r="G39" s="151">
        <v>0</v>
      </c>
      <c r="H39" s="152">
        <v>0</v>
      </c>
    </row>
    <row r="40" spans="2:10" ht="14.4" hidden="1" x14ac:dyDescent="0.3">
      <c r="B40" s="154">
        <v>2258</v>
      </c>
      <c r="C40" s="151">
        <v>2256</v>
      </c>
      <c r="D40" s="152">
        <v>2439</v>
      </c>
      <c r="E40" s="153" t="s">
        <v>268</v>
      </c>
      <c r="F40" s="154">
        <v>2258</v>
      </c>
      <c r="G40" s="151">
        <v>2256</v>
      </c>
      <c r="H40" s="152">
        <v>2439</v>
      </c>
    </row>
    <row r="41" spans="2:10" ht="14.4" hidden="1" x14ac:dyDescent="0.3">
      <c r="B41" s="154">
        <v>1120</v>
      </c>
      <c r="C41" s="151">
        <v>1492</v>
      </c>
      <c r="D41" s="152">
        <v>481</v>
      </c>
      <c r="E41" s="153" t="s">
        <v>269</v>
      </c>
      <c r="F41" s="154">
        <v>1120</v>
      </c>
      <c r="G41" s="151">
        <v>1492</v>
      </c>
      <c r="H41" s="152">
        <v>481</v>
      </c>
    </row>
    <row r="42" spans="2:10" ht="14.4" hidden="1" x14ac:dyDescent="0.3">
      <c r="B42" s="154">
        <v>0</v>
      </c>
      <c r="C42" s="151">
        <v>0</v>
      </c>
      <c r="D42" s="152">
        <v>0</v>
      </c>
      <c r="E42" s="153" t="s">
        <v>270</v>
      </c>
      <c r="F42" s="154">
        <v>0</v>
      </c>
      <c r="G42" s="151">
        <v>0</v>
      </c>
      <c r="H42" s="152">
        <v>0</v>
      </c>
    </row>
    <row r="43" spans="2:10" ht="14.4" hidden="1" x14ac:dyDescent="0.3">
      <c r="B43" s="159">
        <v>-416</v>
      </c>
      <c r="C43" s="160">
        <v>-873</v>
      </c>
      <c r="D43" s="161">
        <v>-930</v>
      </c>
      <c r="E43" s="162" t="s">
        <v>271</v>
      </c>
      <c r="F43" s="159">
        <v>-416</v>
      </c>
      <c r="G43" s="160">
        <v>-873</v>
      </c>
      <c r="H43" s="161">
        <v>-930</v>
      </c>
      <c r="J43" s="178"/>
    </row>
    <row r="44" spans="2:10" ht="14.4" hidden="1" x14ac:dyDescent="0.3">
      <c r="B44" s="154">
        <v>10</v>
      </c>
      <c r="C44" s="151">
        <v>12</v>
      </c>
      <c r="D44" s="152">
        <v>0</v>
      </c>
      <c r="E44" s="153" t="s">
        <v>272</v>
      </c>
      <c r="F44" s="154">
        <v>10</v>
      </c>
      <c r="G44" s="151">
        <v>12</v>
      </c>
      <c r="H44" s="152">
        <v>0</v>
      </c>
      <c r="J44" s="178"/>
    </row>
    <row r="45" spans="2:10" ht="14.4" hidden="1" x14ac:dyDescent="0.3">
      <c r="B45" s="154">
        <v>3388</v>
      </c>
      <c r="C45" s="151">
        <v>3760</v>
      </c>
      <c r="D45" s="152">
        <v>2920</v>
      </c>
      <c r="E45" s="163" t="s">
        <v>273</v>
      </c>
      <c r="F45" s="154">
        <v>3388</v>
      </c>
      <c r="G45" s="151">
        <v>3760</v>
      </c>
      <c r="H45" s="152">
        <v>2920</v>
      </c>
      <c r="J45" s="178"/>
    </row>
    <row r="46" spans="2:10" ht="14.4" hidden="1" x14ac:dyDescent="0.3">
      <c r="B46" s="159">
        <v>-426</v>
      </c>
      <c r="C46" s="160">
        <v>-885</v>
      </c>
      <c r="D46" s="161">
        <v>-930</v>
      </c>
      <c r="E46" s="162" t="s">
        <v>274</v>
      </c>
      <c r="F46" s="159">
        <v>-426</v>
      </c>
      <c r="G46" s="160">
        <v>-885</v>
      </c>
      <c r="H46" s="161">
        <v>-930</v>
      </c>
    </row>
    <row r="47" spans="2:10" ht="14.4" hidden="1" x14ac:dyDescent="0.3">
      <c r="B47" s="154">
        <v>0</v>
      </c>
      <c r="C47" s="151">
        <v>0</v>
      </c>
      <c r="D47" s="152">
        <v>0</v>
      </c>
      <c r="E47" s="153" t="s">
        <v>275</v>
      </c>
      <c r="F47" s="154">
        <v>0</v>
      </c>
      <c r="G47" s="151">
        <v>0</v>
      </c>
      <c r="H47" s="152">
        <v>0</v>
      </c>
    </row>
    <row r="48" spans="2:10" ht="14.4" hidden="1" x14ac:dyDescent="0.3">
      <c r="B48" s="154">
        <v>0</v>
      </c>
      <c r="C48" s="151">
        <v>0</v>
      </c>
      <c r="D48" s="152">
        <v>0</v>
      </c>
      <c r="E48" s="153" t="s">
        <v>276</v>
      </c>
      <c r="F48" s="154">
        <v>0</v>
      </c>
      <c r="G48" s="151">
        <v>0</v>
      </c>
      <c r="H48" s="152">
        <v>0</v>
      </c>
    </row>
    <row r="49" spans="2:8" ht="14.4" hidden="1" x14ac:dyDescent="0.3">
      <c r="B49" s="159">
        <v>-426</v>
      </c>
      <c r="C49" s="160">
        <v>-885</v>
      </c>
      <c r="D49" s="161">
        <v>-930</v>
      </c>
      <c r="E49" s="162" t="s">
        <v>277</v>
      </c>
      <c r="F49" s="159">
        <v>-426</v>
      </c>
      <c r="G49" s="160">
        <v>-885</v>
      </c>
      <c r="H49" s="161">
        <v>-930</v>
      </c>
    </row>
    <row r="50" spans="2:8" ht="14.4" hidden="1" x14ac:dyDescent="0.3">
      <c r="B50" s="164"/>
      <c r="C50" s="165"/>
      <c r="D50" s="166"/>
      <c r="E50" s="167"/>
      <c r="F50" s="164"/>
      <c r="G50" s="165"/>
      <c r="H50" s="168"/>
    </row>
    <row r="51" spans="2:8" ht="14.4" hidden="1" x14ac:dyDescent="0.3">
      <c r="B51" s="169">
        <v>-0.14044564483457123</v>
      </c>
      <c r="C51" s="170">
        <v>-0.3036521739130435</v>
      </c>
      <c r="D51" s="171">
        <v>-0.46733668341708545</v>
      </c>
      <c r="E51" s="172" t="s">
        <v>278</v>
      </c>
      <c r="F51" s="169">
        <v>-0.14044564483457123</v>
      </c>
      <c r="G51" s="170">
        <v>-0.3036521739130435</v>
      </c>
      <c r="H51" s="171">
        <v>-0.46733668341708545</v>
      </c>
    </row>
    <row r="52" spans="2:8" ht="14.4" hidden="1" x14ac:dyDescent="0.3">
      <c r="B52" s="169">
        <v>-0.14382174206617152</v>
      </c>
      <c r="C52" s="170">
        <v>-0.30782608695652175</v>
      </c>
      <c r="D52" s="171">
        <v>-0.46733668341708545</v>
      </c>
      <c r="E52" s="172" t="s">
        <v>279</v>
      </c>
      <c r="F52" s="169">
        <v>-0.14382174206617152</v>
      </c>
      <c r="G52" s="170">
        <v>-0.30782608695652175</v>
      </c>
      <c r="H52" s="171">
        <v>-0.46733668341708545</v>
      </c>
    </row>
    <row r="53" spans="2:8" ht="14.4" hidden="1" x14ac:dyDescent="0.3">
      <c r="B53" s="173">
        <v>-0.14382174206617152</v>
      </c>
      <c r="C53" s="174">
        <v>-0.30782608695652175</v>
      </c>
      <c r="D53" s="175">
        <v>-0.46733668341708545</v>
      </c>
      <c r="E53" s="176" t="s">
        <v>280</v>
      </c>
      <c r="F53" s="173">
        <v>-0.14382174206617152</v>
      </c>
      <c r="G53" s="174">
        <v>-0.30782608695652175</v>
      </c>
      <c r="H53" s="175">
        <v>-0.46733668341708545</v>
      </c>
    </row>
    <row r="54" spans="2:8" hidden="1" x14ac:dyDescent="0.25"/>
    <row r="55" spans="2:8" hidden="1" x14ac:dyDescent="0.25"/>
    <row r="59" spans="2:8" x14ac:dyDescent="0.25">
      <c r="B59" s="178"/>
    </row>
    <row r="61" spans="2:8" ht="14.25" customHeight="1" x14ac:dyDescent="0.25"/>
  </sheetData>
  <mergeCells count="4">
    <mergeCell ref="B4:D4"/>
    <mergeCell ref="F4:H4"/>
    <mergeCell ref="B32:D32"/>
    <mergeCell ref="F32:H32"/>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361"/>
  <sheetViews>
    <sheetView zoomScaleNormal="100" workbookViewId="0">
      <pane ySplit="3" topLeftCell="A138" activePane="bottomLeft" state="frozen"/>
      <selection activeCell="M73" sqref="M73"/>
      <selection pane="bottomLeft" activeCell="M73" sqref="M73"/>
    </sheetView>
  </sheetViews>
  <sheetFormatPr baseColWidth="10" defaultColWidth="11.44140625" defaultRowHeight="11.4" x14ac:dyDescent="0.2"/>
  <cols>
    <col min="1" max="1" width="12.33203125" style="12" customWidth="1"/>
    <col min="2" max="2" width="33.88671875" style="12" customWidth="1"/>
    <col min="3" max="3" width="17" style="13" hidden="1" customWidth="1"/>
    <col min="4" max="4" width="15.33203125" style="13" hidden="1" customWidth="1"/>
    <col min="5" max="5" width="17" style="13" hidden="1" customWidth="1"/>
    <col min="6" max="6" width="4" style="12" hidden="1" customWidth="1"/>
    <col min="7" max="7" width="14.88671875" style="14" hidden="1" customWidth="1"/>
    <col min="8" max="8" width="13.88671875" style="14" customWidth="1"/>
    <col min="9" max="9" width="9.109375" style="14" customWidth="1"/>
    <col min="10" max="10" width="17" style="13" customWidth="1"/>
    <col min="11" max="11" width="10.44140625" style="13" customWidth="1"/>
    <col min="12" max="12" width="11.33203125" style="13" customWidth="1"/>
    <col min="13" max="13" width="17" style="13" customWidth="1"/>
    <col min="14" max="14" width="4" style="12" customWidth="1"/>
    <col min="15" max="15" width="14.88671875" style="14" customWidth="1"/>
    <col min="16" max="16" width="13.88671875" style="14" customWidth="1"/>
    <col min="17" max="17" width="11.44140625" style="106" customWidth="1"/>
    <col min="18" max="18" width="11.44140625" style="12" customWidth="1"/>
    <col min="19" max="19" width="5.44140625" style="12" customWidth="1"/>
    <col min="20" max="20" width="27.33203125" style="12" customWidth="1"/>
    <col min="21" max="21" width="3" style="12" customWidth="1"/>
    <col min="22" max="22" width="11.44140625" style="12" customWidth="1"/>
    <col min="23" max="23" width="13.109375" style="12" customWidth="1"/>
    <col min="24" max="24" width="11.44140625" style="12" customWidth="1"/>
    <col min="25" max="25" width="6.109375" style="12" customWidth="1"/>
    <col min="26" max="26" width="8.33203125" style="12" hidden="1" customWidth="1"/>
    <col min="27" max="27" width="34.33203125" style="12" hidden="1" customWidth="1"/>
    <col min="28" max="28" width="12.88671875" style="12" hidden="1" customWidth="1"/>
    <col min="29" max="29" width="16.109375" style="12" customWidth="1"/>
    <col min="30" max="30" width="13.33203125" style="12" bestFit="1" customWidth="1"/>
    <col min="31" max="31" width="11.44140625" style="12"/>
    <col min="32" max="32" width="3.88671875" style="12" customWidth="1"/>
    <col min="33" max="35" width="13.5546875" style="12" bestFit="1" customWidth="1"/>
    <col min="36" max="16384" width="11.44140625" style="12"/>
  </cols>
  <sheetData>
    <row r="1" spans="1:32" ht="15.6" x14ac:dyDescent="0.3">
      <c r="A1" s="123" t="s">
        <v>78</v>
      </c>
      <c r="G1" s="114"/>
      <c r="H1" s="136" t="s">
        <v>434</v>
      </c>
      <c r="J1" s="136" t="s">
        <v>437</v>
      </c>
      <c r="O1" s="114"/>
      <c r="P1" s="136" t="s">
        <v>436</v>
      </c>
      <c r="R1" s="111"/>
    </row>
    <row r="2" spans="1:32" ht="12" x14ac:dyDescent="0.25">
      <c r="A2" s="15" t="s">
        <v>433</v>
      </c>
      <c r="C2" s="99" t="s">
        <v>223</v>
      </c>
      <c r="D2" s="99" t="s">
        <v>54</v>
      </c>
      <c r="G2" s="99" t="s">
        <v>54</v>
      </c>
      <c r="H2" s="99" t="s">
        <v>53</v>
      </c>
      <c r="J2" s="99" t="s">
        <v>223</v>
      </c>
      <c r="K2" s="99" t="s">
        <v>54</v>
      </c>
      <c r="L2" s="99" t="s">
        <v>257</v>
      </c>
      <c r="M2" s="99" t="s">
        <v>258</v>
      </c>
      <c r="O2" s="99" t="s">
        <v>54</v>
      </c>
      <c r="P2" s="99" t="s">
        <v>53</v>
      </c>
      <c r="R2" s="143" t="s">
        <v>435</v>
      </c>
      <c r="Z2" s="15" t="s">
        <v>432</v>
      </c>
    </row>
    <row r="3" spans="1:32" ht="12" x14ac:dyDescent="0.25">
      <c r="A3" s="15" t="s">
        <v>86</v>
      </c>
      <c r="E3" s="115" t="s">
        <v>42</v>
      </c>
      <c r="G3" s="27">
        <f>+'Personalkost ON pr febr'!B62</f>
        <v>0.90051020408163263</v>
      </c>
      <c r="H3" s="27">
        <f>'Personalkost ON pr febr'!B61</f>
        <v>9.9489795918367346E-2</v>
      </c>
      <c r="I3" s="27"/>
      <c r="M3" s="115"/>
      <c r="O3" s="27">
        <f>+'Personalkost ON pr mars'!B62</f>
        <v>0.91581632653061229</v>
      </c>
      <c r="P3" s="27">
        <f>+'Personalkost ON pr mars'!B61</f>
        <v>8.4183673469387751E-2</v>
      </c>
      <c r="R3" s="20"/>
    </row>
    <row r="4" spans="1:32" ht="12" x14ac:dyDescent="0.25">
      <c r="G4" s="17" t="s">
        <v>52</v>
      </c>
      <c r="H4" s="97" t="s">
        <v>51</v>
      </c>
      <c r="I4" s="84"/>
      <c r="O4" s="17" t="s">
        <v>52</v>
      </c>
      <c r="P4" s="17" t="s">
        <v>51</v>
      </c>
      <c r="R4" s="20"/>
    </row>
    <row r="5" spans="1:32" ht="12" x14ac:dyDescent="0.25">
      <c r="G5" s="17"/>
      <c r="H5" s="97"/>
      <c r="I5" s="84"/>
      <c r="O5" s="17"/>
      <c r="P5" s="17"/>
      <c r="R5" s="20"/>
    </row>
    <row r="6" spans="1:32" ht="13.2" x14ac:dyDescent="0.25">
      <c r="A6" s="40">
        <v>30601</v>
      </c>
      <c r="B6" s="110" t="s">
        <v>215</v>
      </c>
      <c r="C6" s="144">
        <v>-7310275.7699999996</v>
      </c>
      <c r="D6" s="87"/>
      <c r="E6" s="87">
        <f>+C6-D6</f>
        <v>-7310275.7699999996</v>
      </c>
      <c r="G6" s="16"/>
      <c r="H6" s="98">
        <v>-5470084.6500000004</v>
      </c>
      <c r="I6" s="85"/>
      <c r="J6" s="144">
        <v>-7310275.7699999996</v>
      </c>
      <c r="K6" s="87"/>
      <c r="L6" s="87"/>
      <c r="M6" s="87">
        <f>+J6-K6-L6</f>
        <v>-7310275.7699999996</v>
      </c>
      <c r="O6" s="16"/>
      <c r="P6" s="196">
        <f>+M6</f>
        <v>-7310275.7699999996</v>
      </c>
      <c r="R6" s="139">
        <f>+P6-H6</f>
        <v>-1840191.1199999992</v>
      </c>
      <c r="X6"/>
      <c r="Y6"/>
      <c r="Z6">
        <v>30601</v>
      </c>
      <c r="AA6" t="s">
        <v>428</v>
      </c>
      <c r="AB6" s="144">
        <v>-7310275.7699999996</v>
      </c>
    </row>
    <row r="7" spans="1:32" ht="13.2" x14ac:dyDescent="0.25">
      <c r="A7" s="40">
        <v>30602</v>
      </c>
      <c r="B7" s="110" t="s">
        <v>216</v>
      </c>
      <c r="C7" s="144">
        <v>-2400</v>
      </c>
      <c r="D7" s="87"/>
      <c r="E7" s="87">
        <f>+C7-D7</f>
        <v>-2400</v>
      </c>
      <c r="G7" s="16"/>
      <c r="H7" s="98">
        <v>-2400</v>
      </c>
      <c r="I7" s="85"/>
      <c r="J7" s="144">
        <v>-2400</v>
      </c>
      <c r="K7" s="87"/>
      <c r="L7" s="87"/>
      <c r="M7" s="87">
        <f>+J7-K7-L7</f>
        <v>-2400</v>
      </c>
      <c r="O7" s="16"/>
      <c r="P7" s="196">
        <f>+M7</f>
        <v>-2400</v>
      </c>
      <c r="R7" s="139">
        <f>+P7-H7</f>
        <v>0</v>
      </c>
      <c r="X7"/>
      <c r="Y7"/>
      <c r="Z7">
        <v>30602</v>
      </c>
      <c r="AA7" t="s">
        <v>429</v>
      </c>
      <c r="AB7" s="144">
        <v>-2400</v>
      </c>
    </row>
    <row r="8" spans="1:32" ht="13.2" x14ac:dyDescent="0.25">
      <c r="A8" s="40">
        <v>32601</v>
      </c>
      <c r="B8" s="110" t="s">
        <v>217</v>
      </c>
      <c r="C8" s="144">
        <v>-5074.4799999999996</v>
      </c>
      <c r="D8" s="87"/>
      <c r="E8" s="87">
        <f>+C8-D8</f>
        <v>-5074.4799999999996</v>
      </c>
      <c r="G8" s="16"/>
      <c r="H8" s="98">
        <v>-3418.4</v>
      </c>
      <c r="I8" s="85"/>
      <c r="J8" s="144">
        <v>-5074.4799999999996</v>
      </c>
      <c r="K8" s="87"/>
      <c r="L8" s="87"/>
      <c r="M8" s="87">
        <f>+J8-K8-L8</f>
        <v>-5074.4799999999996</v>
      </c>
      <c r="O8" s="16"/>
      <c r="P8" s="196">
        <f>+M8</f>
        <v>-5074.4799999999996</v>
      </c>
      <c r="R8" s="139">
        <f>+P8-H8</f>
        <v>-1656.0799999999995</v>
      </c>
      <c r="X8"/>
      <c r="Y8"/>
      <c r="Z8">
        <v>32601</v>
      </c>
      <c r="AA8" t="s">
        <v>430</v>
      </c>
      <c r="AB8" s="144">
        <v>-5074.4799999999996</v>
      </c>
    </row>
    <row r="9" spans="1:32" ht="13.2" x14ac:dyDescent="0.25">
      <c r="A9" s="40">
        <v>32602</v>
      </c>
      <c r="B9" s="110" t="s">
        <v>217</v>
      </c>
      <c r="C9">
        <v>-824</v>
      </c>
      <c r="D9" s="87"/>
      <c r="E9" s="87">
        <f>+C9-D9</f>
        <v>-824</v>
      </c>
      <c r="G9" s="16"/>
      <c r="H9" s="98">
        <v>-460</v>
      </c>
      <c r="I9" s="85"/>
      <c r="J9">
        <v>-824</v>
      </c>
      <c r="K9" s="87"/>
      <c r="L9" s="87"/>
      <c r="M9" s="87">
        <f>+J9-K9-L9</f>
        <v>-824</v>
      </c>
      <c r="O9" s="16"/>
      <c r="P9" s="196">
        <f>+M9</f>
        <v>-824</v>
      </c>
      <c r="R9" s="139">
        <f>+P9-H9</f>
        <v>-364</v>
      </c>
      <c r="X9"/>
      <c r="Y9"/>
      <c r="Z9">
        <v>32602</v>
      </c>
      <c r="AA9" t="s">
        <v>431</v>
      </c>
      <c r="AB9">
        <v>-824</v>
      </c>
    </row>
    <row r="10" spans="1:32" ht="13.2" x14ac:dyDescent="0.25">
      <c r="A10" s="40"/>
      <c r="B10" s="110"/>
      <c r="C10" s="12"/>
      <c r="D10" s="87"/>
      <c r="E10" s="87"/>
      <c r="G10" s="16"/>
      <c r="H10" s="98"/>
      <c r="I10" s="85"/>
      <c r="J10" s="12"/>
      <c r="K10" s="87"/>
      <c r="L10" s="87"/>
      <c r="M10" s="87"/>
      <c r="O10" s="16"/>
      <c r="P10" s="196"/>
      <c r="R10" s="139">
        <f>+P10-H10</f>
        <v>0</v>
      </c>
      <c r="X10"/>
      <c r="Y10"/>
      <c r="Z10" s="87"/>
    </row>
    <row r="11" spans="1:32" ht="13.2" x14ac:dyDescent="0.25">
      <c r="C11" s="12"/>
      <c r="G11" s="17"/>
      <c r="H11" s="97"/>
      <c r="I11" s="84"/>
      <c r="J11" s="12"/>
      <c r="O11" s="17"/>
      <c r="P11" s="197"/>
      <c r="R11" s="20"/>
      <c r="X11"/>
      <c r="Y11"/>
      <c r="Z11" s="87"/>
      <c r="AC11"/>
      <c r="AD11"/>
    </row>
    <row r="12" spans="1:32" ht="13.2" x14ac:dyDescent="0.25">
      <c r="A12" s="40">
        <v>45108</v>
      </c>
      <c r="B12" s="110" t="s">
        <v>87</v>
      </c>
      <c r="C12" s="87">
        <v>19000</v>
      </c>
      <c r="D12" s="87"/>
      <c r="E12" s="87">
        <f>+C12-D12</f>
        <v>19000</v>
      </c>
      <c r="G12" s="16">
        <f t="shared" ref="G12:G19" si="0">+E12</f>
        <v>19000</v>
      </c>
      <c r="H12" s="98"/>
      <c r="I12" s="85"/>
      <c r="J12" s="87">
        <v>19000</v>
      </c>
      <c r="K12" s="87"/>
      <c r="L12" s="87"/>
      <c r="M12" s="87">
        <f t="shared" ref="M12:M19" si="1">+J12-K12-L12</f>
        <v>19000</v>
      </c>
      <c r="O12" s="16">
        <f t="shared" ref="O12:O19" si="2">+M12</f>
        <v>19000</v>
      </c>
      <c r="P12" s="196"/>
      <c r="R12" s="139">
        <f t="shared" ref="R12:R19" si="3">+P12-H12</f>
        <v>0</v>
      </c>
      <c r="X12"/>
      <c r="Y12"/>
      <c r="Z12" s="12">
        <v>45108</v>
      </c>
      <c r="AA12" s="12" t="s">
        <v>87</v>
      </c>
      <c r="AB12" s="87">
        <v>19000</v>
      </c>
      <c r="AC12"/>
      <c r="AD12" s="144"/>
      <c r="AF12" s="87"/>
    </row>
    <row r="13" spans="1:32" ht="13.2" x14ac:dyDescent="0.25">
      <c r="A13" s="40">
        <v>45201</v>
      </c>
      <c r="B13" s="110" t="s">
        <v>88</v>
      </c>
      <c r="C13" s="87">
        <v>8019966.8700000001</v>
      </c>
      <c r="D13" s="87"/>
      <c r="E13" s="87">
        <f t="shared" ref="E13:E93" si="4">+C13-D13</f>
        <v>8019966.8700000001</v>
      </c>
      <c r="G13" s="16">
        <f t="shared" si="0"/>
        <v>8019966.8700000001</v>
      </c>
      <c r="H13" s="98"/>
      <c r="I13" s="85"/>
      <c r="J13" s="87">
        <v>8019966.8700000001</v>
      </c>
      <c r="K13" s="87"/>
      <c r="L13" s="87"/>
      <c r="M13" s="87">
        <f t="shared" si="1"/>
        <v>8019966.8700000001</v>
      </c>
      <c r="O13" s="16">
        <f t="shared" si="2"/>
        <v>8019966.8700000001</v>
      </c>
      <c r="P13" s="196"/>
      <c r="R13" s="139">
        <f t="shared" si="3"/>
        <v>0</v>
      </c>
      <c r="X13"/>
      <c r="Y13"/>
      <c r="Z13" s="12">
        <v>45201</v>
      </c>
      <c r="AA13" s="12" t="s">
        <v>88</v>
      </c>
      <c r="AB13" s="87">
        <v>8019966.8700000001</v>
      </c>
      <c r="AC13"/>
      <c r="AD13" s="144"/>
      <c r="AF13" s="87"/>
    </row>
    <row r="14" spans="1:32" ht="13.2" x14ac:dyDescent="0.25">
      <c r="A14" s="40">
        <v>45601</v>
      </c>
      <c r="B14" s="110" t="s">
        <v>44</v>
      </c>
      <c r="C14" s="87">
        <v>49279.12</v>
      </c>
      <c r="D14" s="87"/>
      <c r="E14" s="87">
        <f t="shared" si="4"/>
        <v>49279.12</v>
      </c>
      <c r="G14" s="16">
        <f>+E14</f>
        <v>49279.12</v>
      </c>
      <c r="H14" s="98"/>
      <c r="I14" s="85"/>
      <c r="J14" s="87">
        <v>49279.12</v>
      </c>
      <c r="K14" s="87"/>
      <c r="L14" s="87"/>
      <c r="M14" s="87">
        <f t="shared" si="1"/>
        <v>49279.12</v>
      </c>
      <c r="O14" s="16">
        <f t="shared" si="2"/>
        <v>49279.12</v>
      </c>
      <c r="P14" s="196"/>
      <c r="R14" s="139">
        <f t="shared" si="3"/>
        <v>0</v>
      </c>
      <c r="X14"/>
      <c r="Y14"/>
      <c r="Z14" s="12">
        <v>45601</v>
      </c>
      <c r="AA14" s="12" t="s">
        <v>44</v>
      </c>
      <c r="AB14" s="87">
        <v>49279.12</v>
      </c>
      <c r="AC14"/>
      <c r="AD14" s="144"/>
      <c r="AF14" s="87"/>
    </row>
    <row r="15" spans="1:32" ht="13.2" x14ac:dyDescent="0.25">
      <c r="A15" s="40">
        <v>47707</v>
      </c>
      <c r="B15" s="12" t="s">
        <v>316</v>
      </c>
      <c r="C15" s="12">
        <v>379.63</v>
      </c>
      <c r="D15" s="87"/>
      <c r="E15" s="87">
        <f t="shared" si="4"/>
        <v>379.63</v>
      </c>
      <c r="G15" s="16">
        <f>+E15</f>
        <v>379.63</v>
      </c>
      <c r="H15" s="98"/>
      <c r="I15" s="85"/>
      <c r="J15" s="12">
        <v>379.63</v>
      </c>
      <c r="K15" s="87"/>
      <c r="L15" s="87"/>
      <c r="M15" s="87">
        <f t="shared" si="1"/>
        <v>379.63</v>
      </c>
      <c r="O15" s="16">
        <f t="shared" si="2"/>
        <v>379.63</v>
      </c>
      <c r="P15" s="196"/>
      <c r="R15" s="139">
        <f t="shared" si="3"/>
        <v>0</v>
      </c>
      <c r="X15"/>
      <c r="Y15"/>
      <c r="Z15" s="12">
        <v>47707</v>
      </c>
      <c r="AA15" s="12" t="s">
        <v>316</v>
      </c>
      <c r="AB15" s="12">
        <v>379.63</v>
      </c>
      <c r="AC15"/>
      <c r="AD15" s="144"/>
      <c r="AF15" s="87"/>
    </row>
    <row r="16" spans="1:32" ht="13.2" x14ac:dyDescent="0.25">
      <c r="A16" s="40">
        <v>47761</v>
      </c>
      <c r="B16" s="110" t="s">
        <v>240</v>
      </c>
      <c r="C16" s="87">
        <v>1800</v>
      </c>
      <c r="D16" s="87"/>
      <c r="E16" s="87">
        <f t="shared" si="4"/>
        <v>1800</v>
      </c>
      <c r="G16" s="16">
        <f>+E16</f>
        <v>1800</v>
      </c>
      <c r="H16" s="98"/>
      <c r="I16" s="85"/>
      <c r="J16" s="87">
        <v>1800</v>
      </c>
      <c r="K16" s="87"/>
      <c r="L16" s="87"/>
      <c r="M16" s="87">
        <f t="shared" si="1"/>
        <v>1800</v>
      </c>
      <c r="O16" s="16">
        <f t="shared" si="2"/>
        <v>1800</v>
      </c>
      <c r="P16" s="196"/>
      <c r="R16" s="139">
        <f t="shared" si="3"/>
        <v>0</v>
      </c>
      <c r="X16"/>
      <c r="Y16"/>
      <c r="Z16" s="12">
        <v>47761</v>
      </c>
      <c r="AA16" s="12" t="s">
        <v>240</v>
      </c>
      <c r="AB16" s="87">
        <v>1800</v>
      </c>
      <c r="AC16"/>
      <c r="AD16" s="144"/>
      <c r="AF16" s="87"/>
    </row>
    <row r="17" spans="1:32" ht="13.2" x14ac:dyDescent="0.25">
      <c r="A17" s="40">
        <v>47901</v>
      </c>
      <c r="B17" s="110" t="s">
        <v>89</v>
      </c>
      <c r="C17" s="87">
        <v>12888897.66</v>
      </c>
      <c r="D17" s="87"/>
      <c r="E17" s="87">
        <f t="shared" si="4"/>
        <v>12888897.66</v>
      </c>
      <c r="G17" s="16">
        <f t="shared" si="0"/>
        <v>12888897.66</v>
      </c>
      <c r="H17" s="98"/>
      <c r="I17" s="85"/>
      <c r="J17" s="87">
        <v>12888897.66</v>
      </c>
      <c r="K17" s="87"/>
      <c r="L17" s="87"/>
      <c r="M17" s="87">
        <f t="shared" si="1"/>
        <v>12888897.66</v>
      </c>
      <c r="O17" s="16">
        <f t="shared" si="2"/>
        <v>12888897.66</v>
      </c>
      <c r="P17" s="196"/>
      <c r="R17" s="139">
        <f t="shared" si="3"/>
        <v>0</v>
      </c>
      <c r="X17"/>
      <c r="Y17"/>
      <c r="Z17" s="12">
        <v>47901</v>
      </c>
      <c r="AA17" s="12" t="s">
        <v>317</v>
      </c>
      <c r="AB17" s="87">
        <v>12888897.66</v>
      </c>
      <c r="AC17"/>
      <c r="AD17" s="144"/>
      <c r="AF17" s="87"/>
    </row>
    <row r="18" spans="1:32" ht="13.2" x14ac:dyDescent="0.25">
      <c r="A18" s="40">
        <v>48101</v>
      </c>
      <c r="B18" s="110" t="s">
        <v>90</v>
      </c>
      <c r="C18" s="87">
        <v>797700.01</v>
      </c>
      <c r="D18" s="87"/>
      <c r="E18" s="87">
        <f t="shared" si="4"/>
        <v>797700.01</v>
      </c>
      <c r="G18" s="16">
        <f t="shared" si="0"/>
        <v>797700.01</v>
      </c>
      <c r="H18" s="98"/>
      <c r="I18" s="85"/>
      <c r="J18" s="87">
        <v>797700.01</v>
      </c>
      <c r="K18" s="87"/>
      <c r="L18" s="87"/>
      <c r="M18" s="87">
        <f t="shared" si="1"/>
        <v>797700.01</v>
      </c>
      <c r="O18" s="16">
        <f t="shared" si="2"/>
        <v>797700.01</v>
      </c>
      <c r="P18" s="196"/>
      <c r="R18" s="139">
        <f t="shared" si="3"/>
        <v>0</v>
      </c>
      <c r="X18"/>
      <c r="Y18"/>
      <c r="Z18" s="12">
        <v>48101</v>
      </c>
      <c r="AA18" s="12" t="s">
        <v>90</v>
      </c>
      <c r="AB18" s="87">
        <v>797700.01</v>
      </c>
      <c r="AC18"/>
      <c r="AD18" s="144"/>
      <c r="AF18" s="87"/>
    </row>
    <row r="19" spans="1:32" ht="13.2" x14ac:dyDescent="0.25">
      <c r="A19" s="40">
        <v>48201</v>
      </c>
      <c r="B19" s="110" t="s">
        <v>50</v>
      </c>
      <c r="C19" s="87">
        <v>628583.05000000005</v>
      </c>
      <c r="D19" s="87"/>
      <c r="E19" s="87">
        <f t="shared" si="4"/>
        <v>628583.05000000005</v>
      </c>
      <c r="G19" s="16">
        <f t="shared" si="0"/>
        <v>628583.05000000005</v>
      </c>
      <c r="H19" s="98"/>
      <c r="I19" s="85"/>
      <c r="J19" s="87">
        <v>628583.05000000005</v>
      </c>
      <c r="K19" s="87"/>
      <c r="L19" s="87"/>
      <c r="M19" s="87">
        <f t="shared" si="1"/>
        <v>628583.05000000005</v>
      </c>
      <c r="O19" s="16">
        <f t="shared" si="2"/>
        <v>628583.05000000005</v>
      </c>
      <c r="P19" s="196"/>
      <c r="R19" s="139">
        <f t="shared" si="3"/>
        <v>0</v>
      </c>
      <c r="X19"/>
      <c r="Y19"/>
      <c r="Z19" s="12">
        <v>48201</v>
      </c>
      <c r="AA19" s="12" t="s">
        <v>318</v>
      </c>
      <c r="AB19" s="87">
        <v>628583.05000000005</v>
      </c>
      <c r="AC19"/>
      <c r="AD19" s="144"/>
      <c r="AF19" s="87"/>
    </row>
    <row r="20" spans="1:32" ht="13.2" x14ac:dyDescent="0.25">
      <c r="A20" s="113"/>
      <c r="C20" s="12"/>
      <c r="D20" s="87"/>
      <c r="E20" s="87"/>
      <c r="G20" s="16"/>
      <c r="H20" s="22"/>
      <c r="I20" s="85"/>
      <c r="J20" s="12"/>
      <c r="K20" s="87"/>
      <c r="L20" s="87"/>
      <c r="M20" s="87"/>
      <c r="O20" s="16"/>
      <c r="P20" s="196"/>
      <c r="R20" s="20"/>
      <c r="AF20" s="87"/>
    </row>
    <row r="21" spans="1:32" ht="13.2" x14ac:dyDescent="0.25">
      <c r="A21" s="40">
        <v>50101</v>
      </c>
      <c r="B21" s="110" t="s">
        <v>91</v>
      </c>
      <c r="C21" s="87">
        <v>30998432.850000001</v>
      </c>
      <c r="D21" s="87"/>
      <c r="E21" s="87">
        <f t="shared" si="4"/>
        <v>30998432.850000001</v>
      </c>
      <c r="G21" s="16">
        <f>+E21-H21</f>
        <v>28664620.177200001</v>
      </c>
      <c r="H21" s="116">
        <v>2333812.6727999998</v>
      </c>
      <c r="I21" s="85"/>
      <c r="J21" s="87">
        <v>30998432.850000001</v>
      </c>
      <c r="K21" s="87"/>
      <c r="L21" s="87"/>
      <c r="M21" s="87">
        <f t="shared" ref="M21:M30" si="5">+J21-K21-L21</f>
        <v>30998432.850000001</v>
      </c>
      <c r="O21" s="16">
        <f>+M21-P21</f>
        <v>27886682.619600002</v>
      </c>
      <c r="P21" s="196">
        <f>+'Personalkost ON pr april'!V62</f>
        <v>3111750.2303999998</v>
      </c>
      <c r="R21" s="139">
        <f t="shared" ref="R21:R57" si="6">+P21-H21</f>
        <v>777937.55759999994</v>
      </c>
      <c r="V21" s="13"/>
      <c r="X21"/>
      <c r="Y21"/>
      <c r="Z21" s="12">
        <v>50101</v>
      </c>
      <c r="AA21" s="12" t="s">
        <v>319</v>
      </c>
      <c r="AB21" s="87">
        <v>30998432.850000001</v>
      </c>
      <c r="AC21"/>
      <c r="AD21" s="144"/>
      <c r="AF21" s="87"/>
    </row>
    <row r="22" spans="1:32" ht="13.2" x14ac:dyDescent="0.25">
      <c r="A22" s="40">
        <v>50102</v>
      </c>
      <c r="B22" s="110" t="s">
        <v>92</v>
      </c>
      <c r="C22" s="87">
        <v>-66499.679999999993</v>
      </c>
      <c r="D22" s="87"/>
      <c r="E22" s="87">
        <f t="shared" si="4"/>
        <v>-66499.679999999993</v>
      </c>
      <c r="G22" s="16">
        <f t="shared" ref="G22:G57" si="7">+E22-H22</f>
        <v>-66499.679999999993</v>
      </c>
      <c r="H22" s="98"/>
      <c r="I22" s="85"/>
      <c r="J22" s="87">
        <v>-66499.679999999993</v>
      </c>
      <c r="K22" s="87"/>
      <c r="L22" s="87"/>
      <c r="M22" s="87">
        <f t="shared" si="5"/>
        <v>-66499.679999999993</v>
      </c>
      <c r="O22" s="16">
        <f t="shared" ref="O22:O57" si="8">+M22-P22</f>
        <v>-66499.679999999993</v>
      </c>
      <c r="P22" s="196"/>
      <c r="R22" s="139">
        <f t="shared" si="6"/>
        <v>0</v>
      </c>
      <c r="V22" s="13"/>
      <c r="X22"/>
      <c r="Y22"/>
      <c r="Z22" s="12">
        <v>50102</v>
      </c>
      <c r="AA22" s="12" t="s">
        <v>320</v>
      </c>
      <c r="AB22" s="87">
        <v>-66499.679999999993</v>
      </c>
      <c r="AC22"/>
      <c r="AD22" s="144"/>
      <c r="AF22" s="87"/>
    </row>
    <row r="23" spans="1:32" ht="13.2" x14ac:dyDescent="0.25">
      <c r="A23" s="40">
        <v>50103</v>
      </c>
      <c r="B23" s="110" t="s">
        <v>93</v>
      </c>
      <c r="C23" s="87">
        <v>784129.22</v>
      </c>
      <c r="D23" s="87"/>
      <c r="E23" s="87">
        <f t="shared" si="4"/>
        <v>784129.22</v>
      </c>
      <c r="G23" s="16">
        <f t="shared" si="7"/>
        <v>784129.22</v>
      </c>
      <c r="H23" s="98"/>
      <c r="I23" s="85"/>
      <c r="J23" s="87">
        <v>784129.22</v>
      </c>
      <c r="K23" s="87"/>
      <c r="L23" s="87"/>
      <c r="M23" s="87">
        <f t="shared" si="5"/>
        <v>784129.22</v>
      </c>
      <c r="O23" s="16">
        <f t="shared" si="8"/>
        <v>784129.22</v>
      </c>
      <c r="P23" s="196"/>
      <c r="R23" s="139">
        <f t="shared" si="6"/>
        <v>0</v>
      </c>
      <c r="V23" s="13"/>
      <c r="X23"/>
      <c r="Y23"/>
      <c r="Z23" s="12">
        <v>50103</v>
      </c>
      <c r="AA23" s="12" t="s">
        <v>321</v>
      </c>
      <c r="AB23" s="87">
        <v>784129.22</v>
      </c>
      <c r="AC23"/>
      <c r="AD23" s="144"/>
      <c r="AF23" s="87"/>
    </row>
    <row r="24" spans="1:32" ht="13.2" x14ac:dyDescent="0.25">
      <c r="A24" s="40">
        <v>50105</v>
      </c>
      <c r="B24" s="110" t="s">
        <v>94</v>
      </c>
      <c r="C24" s="87">
        <v>1077074.8400000001</v>
      </c>
      <c r="D24" s="87"/>
      <c r="E24" s="87">
        <f t="shared" si="4"/>
        <v>1077074.8400000001</v>
      </c>
      <c r="G24" s="16">
        <f t="shared" si="7"/>
        <v>1077074.8400000001</v>
      </c>
      <c r="H24" s="98"/>
      <c r="I24" s="85"/>
      <c r="J24" s="87">
        <v>1077074.8400000001</v>
      </c>
      <c r="K24" s="87"/>
      <c r="L24" s="87"/>
      <c r="M24" s="87">
        <f t="shared" si="5"/>
        <v>1077074.8400000001</v>
      </c>
      <c r="O24" s="16">
        <f t="shared" si="8"/>
        <v>1077074.8400000001</v>
      </c>
      <c r="P24" s="196"/>
      <c r="R24" s="139">
        <f t="shared" si="6"/>
        <v>0</v>
      </c>
      <c r="V24" s="13"/>
      <c r="X24"/>
      <c r="Y24"/>
      <c r="Z24" s="12">
        <v>50105</v>
      </c>
      <c r="AA24" s="12" t="s">
        <v>322</v>
      </c>
      <c r="AB24" s="87">
        <v>1077074.8400000001</v>
      </c>
      <c r="AC24"/>
      <c r="AD24" s="144"/>
      <c r="AF24" s="87"/>
    </row>
    <row r="25" spans="1:32" ht="13.2" x14ac:dyDescent="0.25">
      <c r="A25" s="40">
        <v>50106</v>
      </c>
      <c r="B25" s="12" t="s">
        <v>323</v>
      </c>
      <c r="C25" s="87">
        <v>59739.1</v>
      </c>
      <c r="D25" s="87"/>
      <c r="E25" s="87">
        <f t="shared" si="4"/>
        <v>59739.1</v>
      </c>
      <c r="G25" s="16">
        <f t="shared" si="7"/>
        <v>59739.1</v>
      </c>
      <c r="H25" s="98"/>
      <c r="I25" s="85"/>
      <c r="J25" s="87">
        <v>59739.1</v>
      </c>
      <c r="K25" s="87"/>
      <c r="L25" s="87"/>
      <c r="M25" s="87">
        <f t="shared" si="5"/>
        <v>59739.1</v>
      </c>
      <c r="O25" s="16">
        <f t="shared" si="8"/>
        <v>59739.1</v>
      </c>
      <c r="P25" s="196"/>
      <c r="R25" s="139">
        <f t="shared" si="6"/>
        <v>0</v>
      </c>
      <c r="V25" s="13"/>
      <c r="X25"/>
      <c r="Y25"/>
      <c r="Z25" s="12">
        <v>50106</v>
      </c>
      <c r="AA25" s="12" t="s">
        <v>323</v>
      </c>
      <c r="AB25" s="87">
        <v>59739.1</v>
      </c>
      <c r="AC25"/>
      <c r="AD25" s="144"/>
      <c r="AF25" s="87"/>
    </row>
    <row r="26" spans="1:32" ht="13.2" x14ac:dyDescent="0.25">
      <c r="A26" s="40">
        <v>50107</v>
      </c>
      <c r="B26" s="110" t="s">
        <v>95</v>
      </c>
      <c r="C26" s="87">
        <v>3400</v>
      </c>
      <c r="D26" s="87"/>
      <c r="E26" s="87">
        <f t="shared" si="4"/>
        <v>3400</v>
      </c>
      <c r="G26" s="16">
        <f t="shared" si="7"/>
        <v>3400</v>
      </c>
      <c r="H26" s="98"/>
      <c r="I26" s="85"/>
      <c r="J26" s="87">
        <v>3400</v>
      </c>
      <c r="K26" s="87"/>
      <c r="L26" s="87"/>
      <c r="M26" s="87">
        <f t="shared" si="5"/>
        <v>3400</v>
      </c>
      <c r="O26" s="16">
        <f t="shared" si="8"/>
        <v>3400</v>
      </c>
      <c r="P26" s="196"/>
      <c r="R26" s="139">
        <f t="shared" si="6"/>
        <v>0</v>
      </c>
      <c r="V26" s="13"/>
      <c r="X26"/>
      <c r="Y26"/>
      <c r="Z26" s="12">
        <v>50107</v>
      </c>
      <c r="AA26" s="12" t="s">
        <v>324</v>
      </c>
      <c r="AB26" s="87">
        <v>3400</v>
      </c>
      <c r="AC26"/>
      <c r="AD26" s="144"/>
      <c r="AF26" s="87"/>
    </row>
    <row r="27" spans="1:32" ht="13.2" x14ac:dyDescent="0.25">
      <c r="A27" s="40">
        <v>50117</v>
      </c>
      <c r="B27" s="110" t="s">
        <v>96</v>
      </c>
      <c r="C27" s="87">
        <v>2501490</v>
      </c>
      <c r="D27" s="87"/>
      <c r="E27" s="87">
        <f t="shared" si="4"/>
        <v>2501490</v>
      </c>
      <c r="G27" s="16">
        <f t="shared" si="7"/>
        <v>2501490</v>
      </c>
      <c r="H27" s="98"/>
      <c r="I27" s="85"/>
      <c r="J27" s="87">
        <v>2501490</v>
      </c>
      <c r="K27" s="87"/>
      <c r="L27" s="87"/>
      <c r="M27" s="87">
        <f t="shared" si="5"/>
        <v>2501490</v>
      </c>
      <c r="O27" s="16">
        <f t="shared" si="8"/>
        <v>2501490</v>
      </c>
      <c r="P27" s="196"/>
      <c r="R27" s="139">
        <f t="shared" si="6"/>
        <v>0</v>
      </c>
      <c r="V27" s="13"/>
      <c r="X27"/>
      <c r="Y27"/>
      <c r="Z27" s="12">
        <v>50117</v>
      </c>
      <c r="AA27" s="12" t="s">
        <v>325</v>
      </c>
      <c r="AB27" s="87">
        <v>2501490</v>
      </c>
      <c r="AC27"/>
      <c r="AD27" s="144"/>
      <c r="AF27" s="87"/>
    </row>
    <row r="28" spans="1:32" ht="13.2" x14ac:dyDescent="0.25">
      <c r="A28" s="40">
        <v>50121</v>
      </c>
      <c r="B28" s="110" t="s">
        <v>97</v>
      </c>
      <c r="C28" s="87">
        <v>-4829782.92</v>
      </c>
      <c r="D28" s="87"/>
      <c r="E28" s="87">
        <f t="shared" si="4"/>
        <v>-4829782.92</v>
      </c>
      <c r="G28" s="16">
        <f t="shared" si="7"/>
        <v>-4829782.92</v>
      </c>
      <c r="H28" s="98"/>
      <c r="I28" s="85"/>
      <c r="J28" s="87">
        <v>-4829782.92</v>
      </c>
      <c r="K28" s="87"/>
      <c r="L28" s="87"/>
      <c r="M28" s="87">
        <f t="shared" si="5"/>
        <v>-4829782.92</v>
      </c>
      <c r="O28" s="16">
        <f t="shared" si="8"/>
        <v>-4829782.92</v>
      </c>
      <c r="P28" s="196"/>
      <c r="R28" s="139">
        <f t="shared" si="6"/>
        <v>0</v>
      </c>
      <c r="X28"/>
      <c r="Y28"/>
      <c r="Z28" s="12">
        <v>50121</v>
      </c>
      <c r="AA28" s="12" t="s">
        <v>326</v>
      </c>
      <c r="AB28" s="87">
        <v>-4829782.92</v>
      </c>
      <c r="AC28"/>
      <c r="AD28" s="144"/>
      <c r="AF28" s="87"/>
    </row>
    <row r="29" spans="1:32" ht="13.2" x14ac:dyDescent="0.25">
      <c r="A29" s="40">
        <v>50133</v>
      </c>
      <c r="B29" s="110" t="s">
        <v>98</v>
      </c>
      <c r="C29" s="87">
        <v>140830.29</v>
      </c>
      <c r="D29" s="87"/>
      <c r="E29" s="87">
        <f t="shared" si="4"/>
        <v>140830.29</v>
      </c>
      <c r="G29" s="16">
        <f t="shared" si="7"/>
        <v>140830.29</v>
      </c>
      <c r="H29" s="98"/>
      <c r="I29" s="85"/>
      <c r="J29" s="87">
        <v>140830.29</v>
      </c>
      <c r="K29" s="87"/>
      <c r="L29" s="87"/>
      <c r="M29" s="87">
        <f t="shared" si="5"/>
        <v>140830.29</v>
      </c>
      <c r="O29" s="16">
        <f t="shared" si="8"/>
        <v>140830.29</v>
      </c>
      <c r="P29" s="196"/>
      <c r="R29" s="139">
        <f t="shared" si="6"/>
        <v>0</v>
      </c>
      <c r="X29"/>
      <c r="Y29"/>
      <c r="Z29" s="12">
        <v>50133</v>
      </c>
      <c r="AA29" s="12" t="s">
        <v>327</v>
      </c>
      <c r="AB29" s="87">
        <v>140830.29</v>
      </c>
      <c r="AC29"/>
      <c r="AF29" s="87"/>
    </row>
    <row r="30" spans="1:32" ht="13.2" x14ac:dyDescent="0.25">
      <c r="A30" s="40">
        <v>50137</v>
      </c>
      <c r="B30" s="110" t="s">
        <v>99</v>
      </c>
      <c r="C30" s="87">
        <v>-409537</v>
      </c>
      <c r="D30" s="87"/>
      <c r="E30" s="87">
        <f t="shared" si="4"/>
        <v>-409537</v>
      </c>
      <c r="G30" s="16">
        <f t="shared" si="7"/>
        <v>-409537</v>
      </c>
      <c r="H30" s="98"/>
      <c r="I30" s="85"/>
      <c r="J30" s="87">
        <v>-409537</v>
      </c>
      <c r="K30" s="87"/>
      <c r="L30" s="87"/>
      <c r="M30" s="87">
        <f t="shared" si="5"/>
        <v>-409537</v>
      </c>
      <c r="O30" s="16">
        <f t="shared" si="8"/>
        <v>-409537</v>
      </c>
      <c r="P30" s="196"/>
      <c r="R30" s="139">
        <f t="shared" si="6"/>
        <v>0</v>
      </c>
      <c r="X30"/>
      <c r="Y30"/>
      <c r="Z30" s="12">
        <v>50137</v>
      </c>
      <c r="AA30" s="12" t="s">
        <v>328</v>
      </c>
      <c r="AB30" s="87">
        <v>-409537</v>
      </c>
      <c r="AC30"/>
      <c r="AD30" s="144"/>
      <c r="AF30" s="87"/>
    </row>
    <row r="31" spans="1:32" ht="13.2" x14ac:dyDescent="0.25">
      <c r="A31" s="40">
        <v>50139</v>
      </c>
      <c r="B31" s="110" t="s">
        <v>241</v>
      </c>
      <c r="C31" s="87">
        <v>-195978</v>
      </c>
      <c r="D31" s="87"/>
      <c r="E31" s="87">
        <f t="shared" si="4"/>
        <v>-195978</v>
      </c>
      <c r="G31" s="16">
        <f t="shared" si="7"/>
        <v>-195978</v>
      </c>
      <c r="H31" s="98"/>
      <c r="I31" s="85"/>
      <c r="J31" s="87">
        <v>-195978</v>
      </c>
      <c r="K31" s="87"/>
      <c r="L31" s="87"/>
      <c r="M31" s="87">
        <f>+J31-K31-L31</f>
        <v>-195978</v>
      </c>
      <c r="O31" s="16">
        <f t="shared" si="8"/>
        <v>-195978</v>
      </c>
      <c r="P31" s="196"/>
      <c r="R31" s="139">
        <f t="shared" si="6"/>
        <v>0</v>
      </c>
      <c r="X31"/>
      <c r="Y31"/>
      <c r="Z31" s="12">
        <v>50139</v>
      </c>
      <c r="AA31" s="12" t="s">
        <v>241</v>
      </c>
      <c r="AB31" s="87">
        <v>-195978</v>
      </c>
      <c r="AC31"/>
      <c r="AD31" s="144"/>
      <c r="AF31" s="87"/>
    </row>
    <row r="32" spans="1:32" ht="13.2" x14ac:dyDescent="0.25">
      <c r="A32" s="40">
        <v>50141</v>
      </c>
      <c r="B32" s="110" t="s">
        <v>100</v>
      </c>
      <c r="C32" s="87">
        <v>2060572.96</v>
      </c>
      <c r="D32" s="87"/>
      <c r="E32" s="87">
        <f t="shared" si="4"/>
        <v>2060572.96</v>
      </c>
      <c r="G32" s="16">
        <f t="shared" si="7"/>
        <v>2060572.96</v>
      </c>
      <c r="H32" s="98"/>
      <c r="I32" s="85"/>
      <c r="J32" s="87">
        <v>2060572.96</v>
      </c>
      <c r="K32" s="87"/>
      <c r="L32" s="87"/>
      <c r="M32" s="87">
        <f t="shared" ref="M32:M47" si="9">+J32-K32-L32</f>
        <v>2060572.96</v>
      </c>
      <c r="O32" s="16">
        <f t="shared" si="8"/>
        <v>2060572.96</v>
      </c>
      <c r="P32" s="196"/>
      <c r="R32" s="139">
        <f t="shared" si="6"/>
        <v>0</v>
      </c>
      <c r="X32"/>
      <c r="Y32"/>
      <c r="Z32" s="12">
        <v>50141</v>
      </c>
      <c r="AA32" s="12" t="s">
        <v>329</v>
      </c>
      <c r="AB32" s="87">
        <v>2060572.96</v>
      </c>
      <c r="AC32"/>
      <c r="AD32" s="144"/>
      <c r="AF32" s="87"/>
    </row>
    <row r="33" spans="1:32" ht="13.2" x14ac:dyDescent="0.25">
      <c r="A33" s="40">
        <v>50203</v>
      </c>
      <c r="B33" s="110" t="s">
        <v>101</v>
      </c>
      <c r="C33" s="87">
        <v>1278743.46</v>
      </c>
      <c r="D33" s="87"/>
      <c r="E33" s="87">
        <f t="shared" si="4"/>
        <v>1278743.46</v>
      </c>
      <c r="G33" s="16">
        <f t="shared" si="7"/>
        <v>1278743.46</v>
      </c>
      <c r="H33" s="98"/>
      <c r="I33" s="85"/>
      <c r="J33" s="87">
        <v>1278743.46</v>
      </c>
      <c r="K33" s="87"/>
      <c r="L33" s="87"/>
      <c r="M33" s="87">
        <f t="shared" si="9"/>
        <v>1278743.46</v>
      </c>
      <c r="O33" s="16">
        <f t="shared" si="8"/>
        <v>1278743.46</v>
      </c>
      <c r="P33" s="196"/>
      <c r="R33" s="139">
        <f t="shared" si="6"/>
        <v>0</v>
      </c>
      <c r="X33"/>
      <c r="Y33"/>
      <c r="Z33" s="12">
        <v>50203</v>
      </c>
      <c r="AA33" s="12" t="s">
        <v>330</v>
      </c>
      <c r="AB33" s="87">
        <v>1278743.46</v>
      </c>
      <c r="AC33"/>
      <c r="AD33" s="144"/>
      <c r="AF33" s="87"/>
    </row>
    <row r="34" spans="1:32" ht="13.2" x14ac:dyDescent="0.25">
      <c r="A34" s="40">
        <v>50204</v>
      </c>
      <c r="B34" s="110" t="s">
        <v>101</v>
      </c>
      <c r="C34" s="87">
        <v>-1278743.46</v>
      </c>
      <c r="D34" s="87"/>
      <c r="E34" s="87">
        <f t="shared" si="4"/>
        <v>-1278743.46</v>
      </c>
      <c r="G34" s="16">
        <f t="shared" si="7"/>
        <v>-1278743.46</v>
      </c>
      <c r="H34" s="98"/>
      <c r="I34" s="85"/>
      <c r="J34" s="87">
        <v>-1278743.46</v>
      </c>
      <c r="K34" s="87"/>
      <c r="L34" s="87"/>
      <c r="M34" s="87">
        <f t="shared" si="9"/>
        <v>-1278743.46</v>
      </c>
      <c r="O34" s="16">
        <f t="shared" si="8"/>
        <v>-1278743.46</v>
      </c>
      <c r="P34" s="196"/>
      <c r="R34" s="139">
        <f t="shared" si="6"/>
        <v>0</v>
      </c>
      <c r="V34" s="13"/>
      <c r="X34"/>
      <c r="Y34"/>
      <c r="Z34" s="12">
        <v>50204</v>
      </c>
      <c r="AA34" s="12" t="s">
        <v>331</v>
      </c>
      <c r="AB34" s="87">
        <v>-1278743.46</v>
      </c>
      <c r="AC34"/>
      <c r="AD34" s="144"/>
      <c r="AF34" s="87"/>
    </row>
    <row r="35" spans="1:32" ht="13.2" x14ac:dyDescent="0.25">
      <c r="A35" s="40">
        <v>51101</v>
      </c>
      <c r="B35" s="110" t="s">
        <v>102</v>
      </c>
      <c r="C35" s="87">
        <v>879366.7</v>
      </c>
      <c r="D35" s="87"/>
      <c r="E35" s="87">
        <f t="shared" si="4"/>
        <v>879366.7</v>
      </c>
      <c r="G35" s="16">
        <f t="shared" si="7"/>
        <v>879366.7</v>
      </c>
      <c r="H35" s="98"/>
      <c r="I35" s="85"/>
      <c r="J35" s="87">
        <v>879366.7</v>
      </c>
      <c r="K35" s="87"/>
      <c r="L35" s="87"/>
      <c r="M35" s="87">
        <f t="shared" si="9"/>
        <v>879366.7</v>
      </c>
      <c r="O35" s="16">
        <f t="shared" si="8"/>
        <v>879366.7</v>
      </c>
      <c r="P35" s="196"/>
      <c r="R35" s="139">
        <f t="shared" si="6"/>
        <v>0</v>
      </c>
      <c r="V35" s="13"/>
      <c r="X35"/>
      <c r="Y35"/>
      <c r="Z35" s="12">
        <v>51101</v>
      </c>
      <c r="AA35" s="12" t="s">
        <v>332</v>
      </c>
      <c r="AB35" s="87">
        <v>879366.7</v>
      </c>
      <c r="AC35"/>
      <c r="AD35" s="144"/>
      <c r="AF35" s="87"/>
    </row>
    <row r="36" spans="1:32" ht="13.2" x14ac:dyDescent="0.25">
      <c r="A36" s="40">
        <v>51105</v>
      </c>
      <c r="B36" s="110" t="s">
        <v>103</v>
      </c>
      <c r="C36" s="87">
        <v>37626.870000000003</v>
      </c>
      <c r="D36" s="87"/>
      <c r="E36" s="87">
        <f t="shared" si="4"/>
        <v>37626.870000000003</v>
      </c>
      <c r="G36" s="16">
        <f t="shared" si="7"/>
        <v>37626.870000000003</v>
      </c>
      <c r="H36" s="98"/>
      <c r="I36" s="85"/>
      <c r="J36" s="87">
        <v>37626.870000000003</v>
      </c>
      <c r="K36" s="87"/>
      <c r="L36" s="87"/>
      <c r="M36" s="87">
        <f t="shared" si="9"/>
        <v>37626.870000000003</v>
      </c>
      <c r="O36" s="16">
        <f t="shared" si="8"/>
        <v>37626.870000000003</v>
      </c>
      <c r="P36" s="196"/>
      <c r="R36" s="139">
        <f t="shared" si="6"/>
        <v>0</v>
      </c>
      <c r="V36" s="13"/>
      <c r="X36"/>
      <c r="Y36"/>
      <c r="Z36" s="12">
        <v>51105</v>
      </c>
      <c r="AA36" s="12" t="s">
        <v>333</v>
      </c>
      <c r="AB36" s="87">
        <v>37626.870000000003</v>
      </c>
      <c r="AC36"/>
      <c r="AD36" s="144"/>
      <c r="AF36" s="87"/>
    </row>
    <row r="37" spans="1:32" ht="13.2" x14ac:dyDescent="0.25">
      <c r="A37" s="40">
        <v>52101</v>
      </c>
      <c r="B37" s="110" t="s">
        <v>104</v>
      </c>
      <c r="C37" s="87">
        <v>4086034.85</v>
      </c>
      <c r="D37" s="87"/>
      <c r="E37" s="87">
        <f t="shared" si="4"/>
        <v>4086034.85</v>
      </c>
      <c r="G37" s="16">
        <f t="shared" si="7"/>
        <v>4086034.85</v>
      </c>
      <c r="H37" s="98"/>
      <c r="I37" s="85"/>
      <c r="J37" s="87">
        <v>4086034.85</v>
      </c>
      <c r="K37" s="87"/>
      <c r="L37" s="87"/>
      <c r="M37" s="87">
        <f t="shared" si="9"/>
        <v>4086034.85</v>
      </c>
      <c r="O37" s="16">
        <f t="shared" si="8"/>
        <v>4086034.85</v>
      </c>
      <c r="P37" s="196"/>
      <c r="R37" s="139">
        <f t="shared" si="6"/>
        <v>0</v>
      </c>
      <c r="V37" s="13"/>
      <c r="X37"/>
      <c r="Y37"/>
      <c r="Z37" s="12">
        <v>52101</v>
      </c>
      <c r="AA37" s="12" t="s">
        <v>334</v>
      </c>
      <c r="AB37" s="87">
        <v>4086034.85</v>
      </c>
      <c r="AC37"/>
      <c r="AD37" s="144"/>
      <c r="AF37" s="87"/>
    </row>
    <row r="38" spans="1:32" ht="13.2" x14ac:dyDescent="0.25">
      <c r="A38" s="40">
        <v>52102</v>
      </c>
      <c r="B38" s="110" t="s">
        <v>105</v>
      </c>
      <c r="C38" s="87">
        <v>-207861</v>
      </c>
      <c r="D38" s="87"/>
      <c r="E38" s="87">
        <f t="shared" si="4"/>
        <v>-207861</v>
      </c>
      <c r="G38" s="16">
        <f t="shared" si="7"/>
        <v>-207861</v>
      </c>
      <c r="H38" s="98"/>
      <c r="I38" s="85"/>
      <c r="J38" s="87">
        <v>-207861</v>
      </c>
      <c r="K38" s="87"/>
      <c r="L38" s="87"/>
      <c r="M38" s="87">
        <f t="shared" si="9"/>
        <v>-207861</v>
      </c>
      <c r="O38" s="16">
        <f t="shared" si="8"/>
        <v>-207861</v>
      </c>
      <c r="P38" s="196"/>
      <c r="R38" s="139">
        <f t="shared" si="6"/>
        <v>0</v>
      </c>
      <c r="V38" s="13"/>
      <c r="X38"/>
      <c r="Y38"/>
      <c r="Z38" s="12">
        <v>52102</v>
      </c>
      <c r="AA38" s="12" t="s">
        <v>105</v>
      </c>
      <c r="AB38" s="87">
        <v>-207861</v>
      </c>
      <c r="AC38"/>
      <c r="AD38" s="144"/>
      <c r="AF38" s="87"/>
    </row>
    <row r="39" spans="1:32" ht="13.2" x14ac:dyDescent="0.25">
      <c r="A39" s="40">
        <v>52103</v>
      </c>
      <c r="B39" s="110" t="s">
        <v>106</v>
      </c>
      <c r="C39" s="87">
        <v>1143740.68</v>
      </c>
      <c r="D39" s="87"/>
      <c r="E39" s="87">
        <f t="shared" si="4"/>
        <v>1143740.68</v>
      </c>
      <c r="G39" s="16">
        <f t="shared" si="7"/>
        <v>1143740.68</v>
      </c>
      <c r="H39" s="98"/>
      <c r="I39" s="85"/>
      <c r="J39" s="87">
        <v>1143740.68</v>
      </c>
      <c r="K39" s="87"/>
      <c r="L39" s="87"/>
      <c r="M39" s="87">
        <f t="shared" si="9"/>
        <v>1143740.68</v>
      </c>
      <c r="O39" s="16">
        <f t="shared" si="8"/>
        <v>1143740.68</v>
      </c>
      <c r="P39" s="196"/>
      <c r="R39" s="139">
        <f t="shared" si="6"/>
        <v>0</v>
      </c>
      <c r="V39" s="13"/>
      <c r="X39"/>
      <c r="Y39"/>
      <c r="Z39" s="12">
        <v>52103</v>
      </c>
      <c r="AA39" s="12" t="s">
        <v>335</v>
      </c>
      <c r="AB39" s="87">
        <v>1143740.68</v>
      </c>
      <c r="AC39"/>
      <c r="AD39" s="144"/>
      <c r="AF39" s="87"/>
    </row>
    <row r="40" spans="1:32" ht="13.2" x14ac:dyDescent="0.25">
      <c r="A40" s="40">
        <v>52105</v>
      </c>
      <c r="B40" s="110" t="s">
        <v>107</v>
      </c>
      <c r="C40" s="87">
        <v>-1143740.68</v>
      </c>
      <c r="D40" s="87"/>
      <c r="E40" s="87">
        <f t="shared" si="4"/>
        <v>-1143740.68</v>
      </c>
      <c r="G40" s="16">
        <f t="shared" si="7"/>
        <v>-1143740.68</v>
      </c>
      <c r="H40" s="98"/>
      <c r="I40" s="85"/>
      <c r="J40" s="87">
        <v>-1143740.68</v>
      </c>
      <c r="K40" s="87"/>
      <c r="L40" s="87"/>
      <c r="M40" s="87">
        <f t="shared" si="9"/>
        <v>-1143740.68</v>
      </c>
      <c r="O40" s="16">
        <f t="shared" si="8"/>
        <v>-1143740.68</v>
      </c>
      <c r="P40" s="196"/>
      <c r="R40" s="139">
        <f t="shared" si="6"/>
        <v>0</v>
      </c>
      <c r="V40" s="13"/>
      <c r="X40"/>
      <c r="Y40"/>
      <c r="Z40" s="12">
        <v>52105</v>
      </c>
      <c r="AA40" s="12" t="s">
        <v>336</v>
      </c>
      <c r="AB40" s="87">
        <v>-1143740.68</v>
      </c>
      <c r="AC40"/>
      <c r="AD40" s="144"/>
      <c r="AF40" s="87"/>
    </row>
    <row r="41" spans="1:32" ht="13.2" x14ac:dyDescent="0.25">
      <c r="A41" s="40">
        <v>53121</v>
      </c>
      <c r="B41" s="110" t="s">
        <v>108</v>
      </c>
      <c r="C41" s="87">
        <v>262927.26</v>
      </c>
      <c r="D41" s="87"/>
      <c r="E41" s="87">
        <f t="shared" si="4"/>
        <v>262927.26</v>
      </c>
      <c r="G41" s="16">
        <f t="shared" si="7"/>
        <v>262927.26</v>
      </c>
      <c r="H41" s="98"/>
      <c r="I41" s="85"/>
      <c r="J41" s="87">
        <v>262927.26</v>
      </c>
      <c r="K41" s="87"/>
      <c r="L41" s="87"/>
      <c r="M41" s="87">
        <f t="shared" si="9"/>
        <v>262927.26</v>
      </c>
      <c r="O41" s="16">
        <f t="shared" si="8"/>
        <v>262927.26</v>
      </c>
      <c r="P41" s="196"/>
      <c r="R41" s="139">
        <f t="shared" si="6"/>
        <v>0</v>
      </c>
      <c r="V41" s="13"/>
      <c r="X41"/>
      <c r="Y41"/>
      <c r="Z41" s="12">
        <v>53121</v>
      </c>
      <c r="AA41" s="12" t="s">
        <v>337</v>
      </c>
      <c r="AB41" s="87">
        <v>262927.26</v>
      </c>
      <c r="AC41"/>
      <c r="AD41" s="144"/>
      <c r="AF41" s="87"/>
    </row>
    <row r="42" spans="1:32" ht="13.2" x14ac:dyDescent="0.25">
      <c r="A42" s="40">
        <v>54101</v>
      </c>
      <c r="B42" s="110" t="s">
        <v>109</v>
      </c>
      <c r="C42" s="87">
        <v>5921221.6399999997</v>
      </c>
      <c r="D42" s="87"/>
      <c r="E42" s="87">
        <f t="shared" si="4"/>
        <v>5921221.6399999997</v>
      </c>
      <c r="G42" s="16">
        <f t="shared" si="7"/>
        <v>5592154.0531351995</v>
      </c>
      <c r="H42" s="98">
        <v>329067.58686479996</v>
      </c>
      <c r="I42" s="86"/>
      <c r="J42" s="87">
        <v>5921221.6399999997</v>
      </c>
      <c r="K42" s="87"/>
      <c r="L42" s="87"/>
      <c r="M42" s="87">
        <f t="shared" si="9"/>
        <v>5921221.6399999997</v>
      </c>
      <c r="O42" s="16">
        <f t="shared" si="8"/>
        <v>5482464.8575136</v>
      </c>
      <c r="P42" s="196">
        <f>+'Personalkost ON pr april'!V63</f>
        <v>438756.78248639998</v>
      </c>
      <c r="R42" s="139">
        <f t="shared" si="6"/>
        <v>109689.19562160003</v>
      </c>
      <c r="V42" s="13"/>
      <c r="X42"/>
      <c r="Y42"/>
      <c r="Z42" s="12">
        <v>54101</v>
      </c>
      <c r="AA42" s="12" t="s">
        <v>338</v>
      </c>
      <c r="AB42" s="87">
        <v>5921221.6399999997</v>
      </c>
      <c r="AC42"/>
      <c r="AD42" s="144"/>
      <c r="AF42" s="87"/>
    </row>
    <row r="43" spans="1:32" ht="13.2" x14ac:dyDescent="0.25">
      <c r="A43" s="40">
        <v>54109</v>
      </c>
      <c r="B43" s="110" t="s">
        <v>110</v>
      </c>
      <c r="C43" s="87">
        <v>-681502.65</v>
      </c>
      <c r="D43" s="87"/>
      <c r="E43" s="87">
        <f t="shared" si="4"/>
        <v>-681502.65</v>
      </c>
      <c r="G43" s="16">
        <f t="shared" si="7"/>
        <v>-681502.65</v>
      </c>
      <c r="H43" s="98"/>
      <c r="I43" s="85"/>
      <c r="J43" s="87">
        <v>-681502.65</v>
      </c>
      <c r="K43" s="87"/>
      <c r="L43" s="87"/>
      <c r="M43" s="87">
        <f t="shared" si="9"/>
        <v>-681502.65</v>
      </c>
      <c r="O43" s="16">
        <f t="shared" si="8"/>
        <v>-681502.65</v>
      </c>
      <c r="P43" s="196"/>
      <c r="R43" s="139">
        <f t="shared" si="6"/>
        <v>0</v>
      </c>
      <c r="V43" s="13"/>
      <c r="X43"/>
      <c r="Y43"/>
      <c r="Z43" s="12">
        <v>54109</v>
      </c>
      <c r="AA43" s="12" t="s">
        <v>339</v>
      </c>
      <c r="AB43" s="87">
        <v>-681502.65</v>
      </c>
      <c r="AC43"/>
      <c r="AD43" s="144"/>
      <c r="AF43" s="87"/>
    </row>
    <row r="44" spans="1:32" ht="13.2" x14ac:dyDescent="0.25">
      <c r="A44" s="40">
        <v>54112</v>
      </c>
      <c r="B44" s="110" t="s">
        <v>111</v>
      </c>
      <c r="C44" s="87">
        <v>575622.6</v>
      </c>
      <c r="D44" s="87"/>
      <c r="E44" s="87">
        <f t="shared" si="4"/>
        <v>575622.6</v>
      </c>
      <c r="G44" s="16">
        <f t="shared" si="7"/>
        <v>575622.6</v>
      </c>
      <c r="H44" s="98"/>
      <c r="I44" s="85"/>
      <c r="J44" s="87">
        <v>575622.6</v>
      </c>
      <c r="K44" s="87"/>
      <c r="L44" s="87"/>
      <c r="M44" s="87">
        <f t="shared" si="9"/>
        <v>575622.6</v>
      </c>
      <c r="O44" s="16">
        <f t="shared" si="8"/>
        <v>575622.6</v>
      </c>
      <c r="P44" s="196"/>
      <c r="R44" s="139">
        <f t="shared" si="6"/>
        <v>0</v>
      </c>
      <c r="T44" s="142" t="s">
        <v>235</v>
      </c>
      <c r="U44" s="138"/>
      <c r="X44"/>
      <c r="Y44"/>
      <c r="Z44" s="12">
        <v>54112</v>
      </c>
      <c r="AA44" s="12" t="s">
        <v>340</v>
      </c>
      <c r="AB44" s="87">
        <v>575622.6</v>
      </c>
      <c r="AC44"/>
      <c r="AD44" s="144"/>
      <c r="AF44" s="87"/>
    </row>
    <row r="45" spans="1:32" ht="13.2" x14ac:dyDescent="0.25">
      <c r="A45" s="40">
        <v>54113</v>
      </c>
      <c r="B45" s="110" t="s">
        <v>112</v>
      </c>
      <c r="C45" s="87">
        <v>-147538.69</v>
      </c>
      <c r="D45" s="20"/>
      <c r="E45" s="87">
        <f t="shared" si="4"/>
        <v>-147538.69</v>
      </c>
      <c r="F45" s="20"/>
      <c r="G45" s="16">
        <f t="shared" si="7"/>
        <v>-147538.69</v>
      </c>
      <c r="H45" s="98"/>
      <c r="I45" s="74"/>
      <c r="J45" s="87">
        <v>-147538.69</v>
      </c>
      <c r="K45" s="20"/>
      <c r="L45" s="20"/>
      <c r="M45" s="87">
        <f t="shared" si="9"/>
        <v>-147538.69</v>
      </c>
      <c r="N45" s="20"/>
      <c r="O45" s="16">
        <f t="shared" si="8"/>
        <v>-147538.69</v>
      </c>
      <c r="P45" s="196"/>
      <c r="R45" s="139">
        <f t="shared" si="6"/>
        <v>0</v>
      </c>
      <c r="T45" s="139" t="s">
        <v>438</v>
      </c>
      <c r="U45" s="138"/>
      <c r="X45"/>
      <c r="Y45"/>
      <c r="Z45" s="12">
        <v>54113</v>
      </c>
      <c r="AA45" s="12" t="s">
        <v>341</v>
      </c>
      <c r="AB45" s="87">
        <v>-147538.69</v>
      </c>
      <c r="AC45"/>
      <c r="AD45" s="144"/>
      <c r="AF45" s="87"/>
    </row>
    <row r="46" spans="1:32" ht="13.2" x14ac:dyDescent="0.25">
      <c r="A46" s="40">
        <v>54121</v>
      </c>
      <c r="B46" s="110" t="s">
        <v>113</v>
      </c>
      <c r="C46" s="87">
        <v>-85568.26</v>
      </c>
      <c r="D46" s="20"/>
      <c r="E46" s="87">
        <f t="shared" si="4"/>
        <v>-85568.26</v>
      </c>
      <c r="F46" s="20"/>
      <c r="G46" s="16">
        <f t="shared" si="7"/>
        <v>-85568.26</v>
      </c>
      <c r="H46" s="98"/>
      <c r="I46" s="74"/>
      <c r="J46" s="87">
        <v>-85568.26</v>
      </c>
      <c r="K46" s="20"/>
      <c r="L46" s="20"/>
      <c r="M46" s="87">
        <f t="shared" si="9"/>
        <v>-85568.26</v>
      </c>
      <c r="N46" s="20"/>
      <c r="O46" s="16">
        <f t="shared" si="8"/>
        <v>-85568.26</v>
      </c>
      <c r="P46" s="196"/>
      <c r="R46" s="139">
        <f t="shared" si="6"/>
        <v>0</v>
      </c>
      <c r="T46" s="139" t="s">
        <v>439</v>
      </c>
      <c r="U46" s="138"/>
      <c r="X46"/>
      <c r="Y46"/>
      <c r="Z46" s="12">
        <v>54121</v>
      </c>
      <c r="AA46" s="12" t="s">
        <v>342</v>
      </c>
      <c r="AB46" s="87">
        <v>-85568.26</v>
      </c>
      <c r="AC46"/>
      <c r="AD46" s="144"/>
      <c r="AF46" s="87"/>
    </row>
    <row r="47" spans="1:32" ht="13.2" x14ac:dyDescent="0.25">
      <c r="A47" s="40">
        <v>54204</v>
      </c>
      <c r="B47" s="110" t="s">
        <v>114</v>
      </c>
      <c r="C47" s="12">
        <v>0</v>
      </c>
      <c r="D47" s="20"/>
      <c r="E47" s="87">
        <f t="shared" si="4"/>
        <v>0</v>
      </c>
      <c r="F47" s="20"/>
      <c r="G47" s="16">
        <f t="shared" si="7"/>
        <v>0</v>
      </c>
      <c r="H47" s="98"/>
      <c r="I47" s="74"/>
      <c r="J47" s="12">
        <v>0</v>
      </c>
      <c r="K47" s="20"/>
      <c r="L47" s="20"/>
      <c r="M47" s="87">
        <f t="shared" si="9"/>
        <v>0</v>
      </c>
      <c r="N47" s="20"/>
      <c r="O47" s="16">
        <f t="shared" si="8"/>
        <v>0</v>
      </c>
      <c r="P47" s="196"/>
      <c r="R47" s="139">
        <f t="shared" si="6"/>
        <v>0</v>
      </c>
      <c r="T47" s="142"/>
      <c r="U47" s="138"/>
      <c r="X47"/>
      <c r="Y47"/>
      <c r="Z47" s="12">
        <v>54204</v>
      </c>
      <c r="AA47" s="12" t="s">
        <v>114</v>
      </c>
      <c r="AB47" s="12">
        <v>0</v>
      </c>
      <c r="AC47"/>
      <c r="AD47"/>
      <c r="AF47" s="87"/>
    </row>
    <row r="48" spans="1:32" ht="13.2" x14ac:dyDescent="0.25">
      <c r="A48" s="40">
        <v>54205</v>
      </c>
      <c r="B48" s="110" t="s">
        <v>242</v>
      </c>
      <c r="C48" s="12">
        <v>0</v>
      </c>
      <c r="D48" s="20"/>
      <c r="E48" s="87">
        <f t="shared" si="4"/>
        <v>0</v>
      </c>
      <c r="F48" s="20"/>
      <c r="G48" s="16">
        <f t="shared" si="7"/>
        <v>0</v>
      </c>
      <c r="H48" s="98"/>
      <c r="I48" s="74"/>
      <c r="J48" s="12">
        <v>0</v>
      </c>
      <c r="K48" s="20"/>
      <c r="L48" s="20"/>
      <c r="M48" s="87">
        <f>+J48-K48-L48</f>
        <v>0</v>
      </c>
      <c r="N48" s="20"/>
      <c r="O48" s="16">
        <f t="shared" si="8"/>
        <v>0</v>
      </c>
      <c r="P48" s="196"/>
      <c r="R48" s="139">
        <f t="shared" si="6"/>
        <v>0</v>
      </c>
      <c r="T48" s="139"/>
      <c r="U48" s="138"/>
      <c r="X48"/>
      <c r="Y48"/>
      <c r="Z48" s="12">
        <v>54205</v>
      </c>
      <c r="AA48" s="12" t="s">
        <v>242</v>
      </c>
      <c r="AB48" s="12">
        <v>0</v>
      </c>
      <c r="AC48"/>
      <c r="AD48" s="144"/>
      <c r="AF48" s="87"/>
    </row>
    <row r="49" spans="1:38" ht="13.2" x14ac:dyDescent="0.25">
      <c r="A49" s="40">
        <v>54206</v>
      </c>
      <c r="B49" s="110" t="s">
        <v>343</v>
      </c>
      <c r="C49" s="87">
        <v>260661</v>
      </c>
      <c r="D49" s="20"/>
      <c r="E49" s="87">
        <f t="shared" si="4"/>
        <v>260661</v>
      </c>
      <c r="F49" s="20"/>
      <c r="G49" s="16">
        <f t="shared" si="7"/>
        <v>260661</v>
      </c>
      <c r="H49" s="98"/>
      <c r="I49" s="74"/>
      <c r="J49" s="87">
        <v>260661</v>
      </c>
      <c r="K49" s="20"/>
      <c r="L49" s="20"/>
      <c r="M49" s="87">
        <f>+J49-K49-L49</f>
        <v>260661</v>
      </c>
      <c r="N49" s="20"/>
      <c r="O49" s="16">
        <f t="shared" si="8"/>
        <v>260661</v>
      </c>
      <c r="P49" s="196"/>
      <c r="R49" s="139">
        <f t="shared" si="6"/>
        <v>0</v>
      </c>
      <c r="T49" s="142" t="s">
        <v>238</v>
      </c>
      <c r="U49" s="138"/>
      <c r="X49" s="60"/>
      <c r="Y49"/>
      <c r="Z49" s="12">
        <v>54206</v>
      </c>
      <c r="AA49" s="12" t="s">
        <v>343</v>
      </c>
      <c r="AB49" s="87">
        <v>260661</v>
      </c>
      <c r="AC49"/>
      <c r="AD49" s="144"/>
      <c r="AF49" s="87"/>
    </row>
    <row r="50" spans="1:38" ht="13.2" x14ac:dyDescent="0.25">
      <c r="A50" s="40">
        <v>54207</v>
      </c>
      <c r="B50" s="110" t="s">
        <v>344</v>
      </c>
      <c r="C50" s="87">
        <v>36753.199999999997</v>
      </c>
      <c r="D50" s="20"/>
      <c r="E50" s="87">
        <f t="shared" si="4"/>
        <v>36753.199999999997</v>
      </c>
      <c r="F50" s="20"/>
      <c r="G50" s="16">
        <f t="shared" si="7"/>
        <v>36753.199999999997</v>
      </c>
      <c r="H50" s="98"/>
      <c r="I50" s="74"/>
      <c r="J50" s="87">
        <v>36753.199999999997</v>
      </c>
      <c r="K50" s="20"/>
      <c r="L50" s="20"/>
      <c r="M50" s="87">
        <f>+J50-K50-L50</f>
        <v>36753.199999999997</v>
      </c>
      <c r="N50" s="20"/>
      <c r="O50" s="16">
        <f t="shared" si="8"/>
        <v>36753.199999999997</v>
      </c>
      <c r="P50" s="196"/>
      <c r="R50" s="139">
        <f t="shared" si="6"/>
        <v>0</v>
      </c>
      <c r="V50" s="13"/>
      <c r="X50" s="60"/>
      <c r="Y50"/>
      <c r="Z50" s="12">
        <v>54207</v>
      </c>
      <c r="AA50" s="12" t="s">
        <v>344</v>
      </c>
      <c r="AB50" s="87">
        <v>36753.199999999997</v>
      </c>
      <c r="AC50"/>
      <c r="AD50" s="144"/>
      <c r="AF50" s="87"/>
    </row>
    <row r="51" spans="1:38" ht="13.2" x14ac:dyDescent="0.25">
      <c r="A51" s="40">
        <v>54210</v>
      </c>
      <c r="B51" s="110" t="s">
        <v>115</v>
      </c>
      <c r="C51" s="12">
        <v>0</v>
      </c>
      <c r="D51" s="20"/>
      <c r="E51" s="87">
        <f t="shared" si="4"/>
        <v>0</v>
      </c>
      <c r="F51" s="20"/>
      <c r="G51" s="16">
        <f t="shared" si="7"/>
        <v>0</v>
      </c>
      <c r="H51" s="98"/>
      <c r="I51" s="74"/>
      <c r="J51" s="12">
        <v>0</v>
      </c>
      <c r="K51" s="20"/>
      <c r="L51" s="20"/>
      <c r="M51" s="87">
        <f t="shared" ref="M51:M57" si="10">+J51-K51-L51</f>
        <v>0</v>
      </c>
      <c r="N51" s="20"/>
      <c r="O51" s="16">
        <f t="shared" si="8"/>
        <v>0</v>
      </c>
      <c r="P51" s="196"/>
      <c r="R51" s="139">
        <f t="shared" si="6"/>
        <v>0</v>
      </c>
      <c r="V51" s="13"/>
      <c r="X51"/>
      <c r="Y51"/>
      <c r="Z51" s="12">
        <v>54210</v>
      </c>
      <c r="AA51" s="12" t="s">
        <v>345</v>
      </c>
      <c r="AB51" s="12">
        <v>0</v>
      </c>
      <c r="AC51"/>
      <c r="AD51" s="144"/>
      <c r="AF51" s="87"/>
    </row>
    <row r="52" spans="1:38" ht="13.2" x14ac:dyDescent="0.25">
      <c r="A52" s="40">
        <v>54211</v>
      </c>
      <c r="B52" s="110" t="s">
        <v>116</v>
      </c>
      <c r="C52" s="87">
        <v>14167571</v>
      </c>
      <c r="D52" s="20"/>
      <c r="E52" s="87">
        <f t="shared" si="4"/>
        <v>14167571</v>
      </c>
      <c r="F52" s="20"/>
      <c r="G52" s="16">
        <f t="shared" si="7"/>
        <v>14167571</v>
      </c>
      <c r="H52" s="98"/>
      <c r="I52" s="74"/>
      <c r="J52" s="87">
        <v>14167571</v>
      </c>
      <c r="K52" s="20"/>
      <c r="L52" s="20"/>
      <c r="M52" s="87">
        <f t="shared" si="10"/>
        <v>14167571</v>
      </c>
      <c r="N52" s="20"/>
      <c r="O52" s="16">
        <f t="shared" si="8"/>
        <v>14167571</v>
      </c>
      <c r="P52" s="196"/>
      <c r="R52" s="139">
        <f t="shared" si="6"/>
        <v>0</v>
      </c>
      <c r="V52" s="350" t="s">
        <v>457</v>
      </c>
      <c r="W52" s="351"/>
      <c r="X52" s="351"/>
      <c r="Y52"/>
      <c r="Z52" s="12">
        <v>54211</v>
      </c>
      <c r="AA52" s="12" t="s">
        <v>346</v>
      </c>
      <c r="AB52" s="87">
        <v>14167571</v>
      </c>
      <c r="AC52" s="350" t="s">
        <v>458</v>
      </c>
      <c r="AD52" s="351"/>
      <c r="AE52" s="351"/>
      <c r="AF52" s="87"/>
      <c r="AG52" s="28" t="s">
        <v>459</v>
      </c>
      <c r="AH52" s="28" t="s">
        <v>459</v>
      </c>
      <c r="AI52" s="28" t="s">
        <v>464</v>
      </c>
      <c r="AK52" s="238" t="s">
        <v>462</v>
      </c>
      <c r="AL52" s="239" t="s">
        <v>463</v>
      </c>
    </row>
    <row r="53" spans="1:38" ht="13.2" x14ac:dyDescent="0.25">
      <c r="A53" s="40">
        <v>54214</v>
      </c>
      <c r="B53" s="110" t="s">
        <v>117</v>
      </c>
      <c r="C53" s="87">
        <v>723783.15</v>
      </c>
      <c r="D53" s="20"/>
      <c r="E53" s="87">
        <f t="shared" si="4"/>
        <v>723783.15</v>
      </c>
      <c r="F53" s="20"/>
      <c r="G53" s="16">
        <f t="shared" si="7"/>
        <v>723783.15</v>
      </c>
      <c r="H53" s="98"/>
      <c r="I53" s="74"/>
      <c r="J53" s="87">
        <v>723783.15</v>
      </c>
      <c r="K53" s="20"/>
      <c r="L53" s="20"/>
      <c r="M53" s="87">
        <f t="shared" si="10"/>
        <v>723783.15</v>
      </c>
      <c r="N53" s="20"/>
      <c r="O53" s="16">
        <f t="shared" si="8"/>
        <v>723783.15</v>
      </c>
      <c r="P53" s="196"/>
      <c r="R53" s="139">
        <f t="shared" si="6"/>
        <v>0</v>
      </c>
      <c r="T53" s="15"/>
      <c r="U53" s="15"/>
      <c r="V53" s="188" t="s">
        <v>310</v>
      </c>
      <c r="W53" s="15" t="s">
        <v>311</v>
      </c>
      <c r="X53" s="189" t="s">
        <v>312</v>
      </c>
      <c r="Y53"/>
      <c r="Z53" s="12">
        <v>54214</v>
      </c>
      <c r="AA53" s="12" t="s">
        <v>347</v>
      </c>
      <c r="AB53" s="87">
        <v>723783.15</v>
      </c>
      <c r="AC53" s="188" t="s">
        <v>310</v>
      </c>
      <c r="AD53" s="15" t="s">
        <v>311</v>
      </c>
      <c r="AE53" s="189" t="s">
        <v>312</v>
      </c>
      <c r="AF53" s="87"/>
      <c r="AG53" s="240" t="s">
        <v>259</v>
      </c>
      <c r="AH53" s="240" t="s">
        <v>260</v>
      </c>
      <c r="AI53" s="240"/>
      <c r="AK53" s="233" t="s">
        <v>310</v>
      </c>
      <c r="AL53" s="236"/>
    </row>
    <row r="54" spans="1:38" ht="13.2" x14ac:dyDescent="0.25">
      <c r="A54" s="40">
        <v>54216</v>
      </c>
      <c r="B54" s="110" t="s">
        <v>118</v>
      </c>
      <c r="C54" s="87">
        <v>2099680.9300000002</v>
      </c>
      <c r="D54" s="20"/>
      <c r="E54" s="87">
        <f t="shared" si="4"/>
        <v>2099680.9300000002</v>
      </c>
      <c r="F54" s="20"/>
      <c r="G54" s="16">
        <f t="shared" si="7"/>
        <v>2099680.9300000002</v>
      </c>
      <c r="H54" s="98"/>
      <c r="I54" s="74"/>
      <c r="J54" s="87">
        <v>2099680.9300000002</v>
      </c>
      <c r="K54" s="20"/>
      <c r="L54" s="20"/>
      <c r="M54" s="87">
        <f t="shared" si="10"/>
        <v>2099680.9300000002</v>
      </c>
      <c r="N54" s="20"/>
      <c r="O54" s="16">
        <f t="shared" si="8"/>
        <v>2099680.9300000002</v>
      </c>
      <c r="P54" s="196"/>
      <c r="R54" s="139">
        <f t="shared" si="6"/>
        <v>0</v>
      </c>
      <c r="V54" s="13"/>
      <c r="X54" s="185"/>
      <c r="Y54"/>
      <c r="Z54" s="12">
        <v>54216</v>
      </c>
      <c r="AA54" s="12" t="s">
        <v>118</v>
      </c>
      <c r="AB54" s="87">
        <v>2099680.9300000002</v>
      </c>
      <c r="AC54"/>
      <c r="AD54" s="144"/>
      <c r="AE54" s="20"/>
      <c r="AF54" s="87"/>
      <c r="AG54" s="138"/>
      <c r="AH54" s="138"/>
      <c r="AI54" s="138"/>
      <c r="AK54" s="234"/>
      <c r="AL54" s="237"/>
    </row>
    <row r="55" spans="1:38" ht="13.8" thickBot="1" x14ac:dyDescent="0.3">
      <c r="A55" s="40">
        <v>54219</v>
      </c>
      <c r="B55" s="110" t="s">
        <v>119</v>
      </c>
      <c r="C55" s="87">
        <v>-16991035.09</v>
      </c>
      <c r="D55" s="20"/>
      <c r="E55" s="87">
        <f t="shared" si="4"/>
        <v>-16991035.09</v>
      </c>
      <c r="F55" s="20"/>
      <c r="G55" s="16">
        <f t="shared" si="7"/>
        <v>-16991035.09</v>
      </c>
      <c r="H55" s="98"/>
      <c r="I55" s="74"/>
      <c r="J55" s="87">
        <v>-16991035.09</v>
      </c>
      <c r="K55" s="20"/>
      <c r="L55" s="20"/>
      <c r="M55" s="87">
        <f t="shared" si="10"/>
        <v>-16991035.09</v>
      </c>
      <c r="N55" s="20"/>
      <c r="O55" s="16">
        <f t="shared" si="8"/>
        <v>-16991035.09</v>
      </c>
      <c r="P55" s="196"/>
      <c r="R55" s="139">
        <f t="shared" si="6"/>
        <v>0</v>
      </c>
      <c r="T55" s="183" t="s">
        <v>309</v>
      </c>
      <c r="U55" s="183"/>
      <c r="V55" s="184">
        <f>+P6+P7+P8+P9</f>
        <v>-7318574.25</v>
      </c>
      <c r="W55" s="184" t="e">
        <f>-#REF!*1000</f>
        <v>#REF!</v>
      </c>
      <c r="X55" s="190" t="e">
        <f>+W55-V55</f>
        <v>#REF!</v>
      </c>
      <c r="Y55"/>
      <c r="Z55" s="12">
        <v>54219</v>
      </c>
      <c r="AA55" s="12" t="s">
        <v>348</v>
      </c>
      <c r="AB55" s="87">
        <v>-16991035.09</v>
      </c>
      <c r="AC55" s="184">
        <f>+H6+H7+H8+H9</f>
        <v>-5476363.0500000007</v>
      </c>
      <c r="AD55" s="184" t="e">
        <f>+-#REF!*1000</f>
        <v>#REF!</v>
      </c>
      <c r="AE55" s="229" t="e">
        <f>+AC55-AD55</f>
        <v>#REF!</v>
      </c>
      <c r="AF55" s="87"/>
      <c r="AG55" s="187">
        <f>+V55-AC55</f>
        <v>-1842211.1999999993</v>
      </c>
      <c r="AH55" s="187" t="e">
        <f>+W55-AD55</f>
        <v>#REF!</v>
      </c>
      <c r="AI55" s="187" t="e">
        <f>+AG55-AH55</f>
        <v>#REF!</v>
      </c>
      <c r="AJ55" s="13"/>
      <c r="AK55" s="235">
        <f>5476*1000</f>
        <v>5476000</v>
      </c>
      <c r="AL55" s="237"/>
    </row>
    <row r="56" spans="1:38" ht="13.8" thickTop="1" x14ac:dyDescent="0.25">
      <c r="A56" s="40">
        <v>54220</v>
      </c>
      <c r="B56" s="110" t="s">
        <v>120</v>
      </c>
      <c r="C56" s="87">
        <v>3833333.33</v>
      </c>
      <c r="D56" s="20"/>
      <c r="E56" s="87">
        <f t="shared" si="4"/>
        <v>3833333.33</v>
      </c>
      <c r="F56" s="20"/>
      <c r="G56" s="16">
        <f t="shared" si="7"/>
        <v>3617411.2376000001</v>
      </c>
      <c r="H56" s="98">
        <v>215922.09240000002</v>
      </c>
      <c r="I56" s="74"/>
      <c r="J56" s="87">
        <v>3833333.33</v>
      </c>
      <c r="K56" s="20"/>
      <c r="L56" s="20"/>
      <c r="M56" s="87">
        <f t="shared" si="10"/>
        <v>3833333.33</v>
      </c>
      <c r="N56" s="20"/>
      <c r="O56" s="16">
        <f t="shared" si="8"/>
        <v>3545437.2067999998</v>
      </c>
      <c r="P56" s="196">
        <f>+'Personalkost ON pr april'!V64</f>
        <v>287896.12320000003</v>
      </c>
      <c r="R56" s="139">
        <f t="shared" si="6"/>
        <v>71974.030800000008</v>
      </c>
      <c r="V56" s="13"/>
      <c r="X56" s="186"/>
      <c r="Y56"/>
      <c r="Z56" s="12">
        <v>54220</v>
      </c>
      <c r="AA56" s="12" t="s">
        <v>349</v>
      </c>
      <c r="AB56" s="87">
        <v>3833333.33</v>
      </c>
      <c r="AC56"/>
      <c r="AD56" s="144"/>
      <c r="AE56" s="20"/>
      <c r="AF56" s="87"/>
      <c r="AG56" s="138"/>
      <c r="AH56" s="138"/>
      <c r="AI56" s="138"/>
      <c r="AK56" s="234"/>
      <c r="AL56" s="237"/>
    </row>
    <row r="57" spans="1:38" ht="13.2" x14ac:dyDescent="0.25">
      <c r="A57" s="40">
        <v>54299</v>
      </c>
      <c r="B57" s="110" t="s">
        <v>350</v>
      </c>
      <c r="C57" s="87">
        <v>100000</v>
      </c>
      <c r="D57" s="20"/>
      <c r="E57" s="87">
        <f t="shared" si="4"/>
        <v>100000</v>
      </c>
      <c r="F57" s="20"/>
      <c r="G57" s="16">
        <f t="shared" si="7"/>
        <v>100000</v>
      </c>
      <c r="H57" s="98"/>
      <c r="I57" s="74"/>
      <c r="J57" s="87">
        <v>100000</v>
      </c>
      <c r="K57" s="20"/>
      <c r="L57" s="20"/>
      <c r="M57" s="87">
        <f t="shared" si="10"/>
        <v>100000</v>
      </c>
      <c r="N57" s="20"/>
      <c r="O57" s="16">
        <f t="shared" si="8"/>
        <v>100000</v>
      </c>
      <c r="P57" s="196"/>
      <c r="R57" s="139">
        <f t="shared" si="6"/>
        <v>0</v>
      </c>
      <c r="V57" s="13"/>
      <c r="X57" s="186"/>
      <c r="Y57"/>
      <c r="Z57" s="12">
        <v>54299</v>
      </c>
      <c r="AA57" s="12" t="s">
        <v>350</v>
      </c>
      <c r="AB57" s="87">
        <v>100000</v>
      </c>
      <c r="AC57" s="55"/>
      <c r="AD57" s="55"/>
      <c r="AE57" s="21"/>
      <c r="AF57" s="87"/>
      <c r="AG57" s="139"/>
      <c r="AH57" s="139"/>
      <c r="AI57" s="139"/>
      <c r="AK57" s="232"/>
      <c r="AL57" s="237"/>
    </row>
    <row r="58" spans="1:38" ht="13.2" x14ac:dyDescent="0.25">
      <c r="A58" s="20"/>
      <c r="B58" s="110"/>
      <c r="C58" s="12"/>
      <c r="D58" s="20"/>
      <c r="E58" s="87"/>
      <c r="F58" s="20"/>
      <c r="G58" s="16"/>
      <c r="H58" s="22"/>
      <c r="I58" s="74"/>
      <c r="J58" s="12"/>
      <c r="K58" s="20"/>
      <c r="L58" s="20"/>
      <c r="M58" s="87"/>
      <c r="N58" s="20"/>
      <c r="O58" s="16"/>
      <c r="P58" s="196"/>
      <c r="R58" s="20"/>
      <c r="T58" s="12" t="s">
        <v>36</v>
      </c>
      <c r="V58" s="13">
        <f>+P21</f>
        <v>3111750.2303999998</v>
      </c>
      <c r="W58" s="13" t="e">
        <f>#REF!*1000</f>
        <v>#REF!</v>
      </c>
      <c r="X58" s="186" t="e">
        <f t="shared" ref="X58:X74" si="11">+W58-V58</f>
        <v>#REF!</v>
      </c>
      <c r="Y58"/>
      <c r="AC58" s="13">
        <f>+H21</f>
        <v>2333812.6727999998</v>
      </c>
      <c r="AD58" s="13">
        <f>2438*1000</f>
        <v>2438000</v>
      </c>
      <c r="AE58" s="21">
        <f>+AC58-AD58</f>
        <v>-104187.32720000017</v>
      </c>
      <c r="AF58" s="87"/>
      <c r="AG58" s="139">
        <f t="shared" ref="AG58:AH61" si="12">+V58-AC58</f>
        <v>777937.55759999994</v>
      </c>
      <c r="AH58" s="139" t="e">
        <f t="shared" si="12"/>
        <v>#REF!</v>
      </c>
      <c r="AI58" s="139" t="e">
        <f>+AG58-AH58</f>
        <v>#REF!</v>
      </c>
      <c r="AJ58" s="13"/>
      <c r="AK58" s="234">
        <f>2333.87*1000</f>
        <v>2333870</v>
      </c>
      <c r="AL58" s="237"/>
    </row>
    <row r="59" spans="1:38" ht="13.2" x14ac:dyDescent="0.25">
      <c r="A59" s="40">
        <v>56101</v>
      </c>
      <c r="B59" s="110" t="s">
        <v>121</v>
      </c>
      <c r="C59" s="87">
        <v>421208.17</v>
      </c>
      <c r="D59" s="20"/>
      <c r="E59" s="87">
        <f t="shared" si="4"/>
        <v>421208.17</v>
      </c>
      <c r="F59" s="20"/>
      <c r="G59" s="16">
        <f>+E59*$G$3</f>
        <v>379302.25512755098</v>
      </c>
      <c r="H59" s="98">
        <v>31416.250025510206</v>
      </c>
      <c r="I59" s="74"/>
      <c r="J59" s="87">
        <v>421208.17</v>
      </c>
      <c r="K59" s="20"/>
      <c r="L59" s="20"/>
      <c r="M59" s="87">
        <f t="shared" ref="M59:M84" si="13">+J59-K59-L59</f>
        <v>421208.17</v>
      </c>
      <c r="N59" s="20"/>
      <c r="O59" s="16">
        <f>+M59*$G$3</f>
        <v>379302.25512755098</v>
      </c>
      <c r="P59" s="196">
        <f>+M59*$H$3</f>
        <v>41905.914872448979</v>
      </c>
      <c r="R59" s="139">
        <f t="shared" ref="R59:R85" si="14">+P59-H59</f>
        <v>10489.664846938773</v>
      </c>
      <c r="T59" s="12" t="s">
        <v>315</v>
      </c>
      <c r="V59" s="13">
        <f>+P42</f>
        <v>438756.78248639998</v>
      </c>
      <c r="W59" s="13" t="e">
        <f>#REF!*1000</f>
        <v>#REF!</v>
      </c>
      <c r="X59" s="186" t="e">
        <f t="shared" si="11"/>
        <v>#REF!</v>
      </c>
      <c r="Y59"/>
      <c r="Z59" s="12">
        <v>56101</v>
      </c>
      <c r="AA59" s="12" t="s">
        <v>351</v>
      </c>
      <c r="AB59" s="87">
        <v>421208.17</v>
      </c>
      <c r="AC59" s="13">
        <f>+H42</f>
        <v>329067.58686479996</v>
      </c>
      <c r="AD59" s="13">
        <f>637*1000</f>
        <v>637000</v>
      </c>
      <c r="AE59" s="21">
        <f t="shared" ref="AE59:AE74" si="15">+AC59-AD59</f>
        <v>-307932.41313520004</v>
      </c>
      <c r="AF59" s="87"/>
      <c r="AG59" s="139">
        <f t="shared" si="12"/>
        <v>109689.19562160003</v>
      </c>
      <c r="AH59" s="139" t="e">
        <f t="shared" si="12"/>
        <v>#REF!</v>
      </c>
      <c r="AI59" s="139" t="e">
        <f>+AG59-AH59</f>
        <v>#REF!</v>
      </c>
      <c r="AJ59" s="13"/>
      <c r="AK59" s="234">
        <f>329*1000</f>
        <v>329000</v>
      </c>
      <c r="AL59" s="237"/>
    </row>
    <row r="60" spans="1:38" ht="13.2" x14ac:dyDescent="0.25">
      <c r="A60" s="40">
        <v>56102</v>
      </c>
      <c r="B60" s="110" t="s">
        <v>243</v>
      </c>
      <c r="C60" s="87">
        <v>2494</v>
      </c>
      <c r="D60" s="20"/>
      <c r="E60" s="87">
        <f t="shared" si="4"/>
        <v>2494</v>
      </c>
      <c r="F60" s="20"/>
      <c r="G60" s="16"/>
      <c r="H60" s="98">
        <v>212.90816326530611</v>
      </c>
      <c r="I60" s="74"/>
      <c r="J60" s="87">
        <v>2494</v>
      </c>
      <c r="K60" s="20"/>
      <c r="L60" s="20"/>
      <c r="M60" s="87">
        <f t="shared" si="13"/>
        <v>2494</v>
      </c>
      <c r="N60" s="20"/>
      <c r="O60" s="16">
        <f>+M60*$G$3</f>
        <v>2245.8724489795918</v>
      </c>
      <c r="P60" s="196">
        <f>+M60*$H$3</f>
        <v>248.12755102040816</v>
      </c>
      <c r="R60" s="139">
        <f t="shared" si="14"/>
        <v>35.219387755102048</v>
      </c>
      <c r="T60" s="12" t="s">
        <v>60</v>
      </c>
      <c r="V60" s="13">
        <f>+P56</f>
        <v>287896.12320000003</v>
      </c>
      <c r="W60" s="13" t="e">
        <f>#REF!*1000</f>
        <v>#REF!</v>
      </c>
      <c r="X60" s="186" t="e">
        <f t="shared" si="11"/>
        <v>#REF!</v>
      </c>
      <c r="Y60"/>
      <c r="Z60" s="12">
        <v>56102</v>
      </c>
      <c r="AA60" s="12" t="s">
        <v>243</v>
      </c>
      <c r="AB60" s="87">
        <v>2494</v>
      </c>
      <c r="AC60" s="13">
        <f>+H56</f>
        <v>215922.09240000002</v>
      </c>
      <c r="AD60" s="13">
        <f>198*1000</f>
        <v>198000</v>
      </c>
      <c r="AE60" s="21">
        <f t="shared" si="15"/>
        <v>17922.092400000023</v>
      </c>
      <c r="AF60" s="87"/>
      <c r="AG60" s="139">
        <f t="shared" si="12"/>
        <v>71974.030800000008</v>
      </c>
      <c r="AH60" s="139" t="e">
        <f t="shared" si="12"/>
        <v>#REF!</v>
      </c>
      <c r="AI60" s="139" t="e">
        <f>+AG60-AH60</f>
        <v>#REF!</v>
      </c>
      <c r="AJ60" s="13"/>
      <c r="AK60" s="234">
        <f>215.9*1000</f>
        <v>215900</v>
      </c>
      <c r="AL60" s="237"/>
    </row>
    <row r="61" spans="1:38" ht="13.2" x14ac:dyDescent="0.25">
      <c r="A61" s="40">
        <v>56111</v>
      </c>
      <c r="B61" s="110" t="s">
        <v>122</v>
      </c>
      <c r="C61" s="87">
        <v>293948.74</v>
      </c>
      <c r="D61" s="20"/>
      <c r="E61" s="87">
        <f t="shared" si="4"/>
        <v>293948.74</v>
      </c>
      <c r="F61" s="20"/>
      <c r="G61" s="16">
        <f t="shared" ref="G61:G85" si="16">+E61*$G$3</f>
        <v>264703.83984693873</v>
      </c>
      <c r="H61" s="98">
        <v>21842.17086734694</v>
      </c>
      <c r="I61" s="74"/>
      <c r="J61" s="87">
        <v>293948.74</v>
      </c>
      <c r="K61" s="20"/>
      <c r="L61" s="20"/>
      <c r="M61" s="87">
        <f t="shared" si="13"/>
        <v>293948.74</v>
      </c>
      <c r="N61" s="20"/>
      <c r="O61" s="16">
        <f t="shared" ref="O61:O85" si="17">+M61*$G$3</f>
        <v>264703.83984693873</v>
      </c>
      <c r="P61" s="196">
        <f t="shared" ref="P61:P84" si="18">+M61*$H$3</f>
        <v>29244.900153061222</v>
      </c>
      <c r="R61" s="139">
        <f t="shared" si="14"/>
        <v>7402.729285714282</v>
      </c>
      <c r="T61" s="12" t="s">
        <v>453</v>
      </c>
      <c r="V61" s="13">
        <f>SUM(P59:P85)+P161</f>
        <v>212300.14232142858</v>
      </c>
      <c r="W61" s="13" t="e">
        <f>#REF!*1000</f>
        <v>#REF!</v>
      </c>
      <c r="X61" s="186" t="e">
        <f t="shared" si="11"/>
        <v>#REF!</v>
      </c>
      <c r="Y61"/>
      <c r="Z61" s="12">
        <v>56111</v>
      </c>
      <c r="AA61" s="12" t="s">
        <v>352</v>
      </c>
      <c r="AB61" s="87">
        <v>293948.74</v>
      </c>
      <c r="AC61" s="13">
        <f>SUM(H59:H85)+H161</f>
        <v>142720.01946428575</v>
      </c>
      <c r="AD61" s="13">
        <f>111*1000</f>
        <v>111000</v>
      </c>
      <c r="AE61" s="21">
        <f t="shared" si="15"/>
        <v>31720.019464285753</v>
      </c>
      <c r="AF61" s="87"/>
      <c r="AG61" s="139">
        <f t="shared" si="12"/>
        <v>69580.122857142822</v>
      </c>
      <c r="AH61" s="139" t="e">
        <f t="shared" si="12"/>
        <v>#REF!</v>
      </c>
      <c r="AI61" s="139" t="e">
        <f>+AG61-AH61</f>
        <v>#REF!</v>
      </c>
      <c r="AJ61" s="13"/>
      <c r="AK61" s="234">
        <f>116*1000</f>
        <v>116000</v>
      </c>
      <c r="AL61" s="237">
        <f>+AC61-AK61</f>
        <v>26720.019464285753</v>
      </c>
    </row>
    <row r="62" spans="1:38" ht="13.2" x14ac:dyDescent="0.25">
      <c r="A62" s="40">
        <v>56112</v>
      </c>
      <c r="B62" s="110" t="s">
        <v>123</v>
      </c>
      <c r="C62" s="87">
        <v>-293948.74</v>
      </c>
      <c r="D62" s="20"/>
      <c r="E62" s="87">
        <f t="shared" si="4"/>
        <v>-293948.74</v>
      </c>
      <c r="F62" s="20"/>
      <c r="G62" s="16">
        <f t="shared" si="16"/>
        <v>-264703.83984693873</v>
      </c>
      <c r="H62" s="98">
        <v>-21842.17086734694</v>
      </c>
      <c r="I62" s="74"/>
      <c r="J62" s="87">
        <v>-293948.74</v>
      </c>
      <c r="K62" s="20"/>
      <c r="L62" s="20"/>
      <c r="M62" s="87">
        <f t="shared" si="13"/>
        <v>-293948.74</v>
      </c>
      <c r="N62" s="20"/>
      <c r="O62" s="16">
        <f t="shared" si="17"/>
        <v>-264703.83984693873</v>
      </c>
      <c r="P62" s="196">
        <f t="shared" si="18"/>
        <v>-29244.900153061222</v>
      </c>
      <c r="R62" s="139">
        <f t="shared" si="14"/>
        <v>-7402.729285714282</v>
      </c>
      <c r="V62" s="13"/>
      <c r="W62" s="13"/>
      <c r="X62" s="186"/>
      <c r="Y62"/>
      <c r="AB62" s="87"/>
      <c r="AC62" s="55"/>
      <c r="AD62" s="55"/>
      <c r="AE62" s="21"/>
      <c r="AF62" s="87"/>
      <c r="AG62" s="139"/>
      <c r="AH62" s="139"/>
      <c r="AI62" s="139"/>
      <c r="AK62" s="234"/>
      <c r="AL62" s="237"/>
    </row>
    <row r="63" spans="1:38" ht="13.2" x14ac:dyDescent="0.25">
      <c r="A63" s="40">
        <v>56190</v>
      </c>
      <c r="B63" s="110" t="s">
        <v>353</v>
      </c>
      <c r="C63" s="87">
        <v>0</v>
      </c>
      <c r="D63" s="20"/>
      <c r="E63" s="87">
        <f t="shared" si="4"/>
        <v>0</v>
      </c>
      <c r="F63" s="20"/>
      <c r="G63" s="16"/>
      <c r="H63" s="98"/>
      <c r="I63" s="74"/>
      <c r="J63" s="87">
        <v>0</v>
      </c>
      <c r="K63" s="20"/>
      <c r="L63" s="20"/>
      <c r="M63" s="87">
        <f t="shared" si="13"/>
        <v>0</v>
      </c>
      <c r="N63" s="20"/>
      <c r="O63" s="16">
        <f t="shared" si="17"/>
        <v>0</v>
      </c>
      <c r="P63" s="196">
        <f t="shared" si="18"/>
        <v>0</v>
      </c>
      <c r="R63" s="139">
        <f t="shared" si="14"/>
        <v>0</v>
      </c>
      <c r="V63" s="13"/>
      <c r="W63" s="13"/>
      <c r="X63" s="186"/>
      <c r="Y63"/>
      <c r="AB63" s="87"/>
      <c r="AC63" s="55"/>
      <c r="AD63" s="55"/>
      <c r="AE63" s="21"/>
      <c r="AF63" s="87"/>
      <c r="AG63" s="139"/>
      <c r="AH63" s="139"/>
      <c r="AI63" s="139"/>
      <c r="AK63" s="234"/>
      <c r="AL63" s="237"/>
    </row>
    <row r="64" spans="1:38" ht="13.2" x14ac:dyDescent="0.25">
      <c r="A64" s="40">
        <v>56201</v>
      </c>
      <c r="B64" s="110" t="s">
        <v>124</v>
      </c>
      <c r="C64" s="12">
        <v>814</v>
      </c>
      <c r="D64" s="20"/>
      <c r="E64" s="87">
        <f t="shared" si="4"/>
        <v>814</v>
      </c>
      <c r="F64" s="20"/>
      <c r="G64" s="16">
        <f t="shared" si="16"/>
        <v>733.01530612244892</v>
      </c>
      <c r="H64" s="98">
        <v>29.448979591836736</v>
      </c>
      <c r="I64" s="74"/>
      <c r="J64" s="12">
        <v>814</v>
      </c>
      <c r="K64" s="20"/>
      <c r="L64" s="20"/>
      <c r="M64" s="87">
        <f t="shared" si="13"/>
        <v>814</v>
      </c>
      <c r="N64" s="20"/>
      <c r="O64" s="16">
        <f t="shared" si="17"/>
        <v>733.01530612244892</v>
      </c>
      <c r="P64" s="196">
        <f t="shared" si="18"/>
        <v>80.984693877551024</v>
      </c>
      <c r="R64" s="139">
        <f t="shared" si="14"/>
        <v>51.535714285714292</v>
      </c>
      <c r="T64" s="12" t="s">
        <v>299</v>
      </c>
      <c r="V64" s="13">
        <f>+P120+P121+P127+P128+P129+P130+P131+P132+P133+P134+P135+P136+P118</f>
        <v>296584.72767857142</v>
      </c>
      <c r="W64" s="13" t="e">
        <f>+#REF!*1000</f>
        <v>#REF!</v>
      </c>
      <c r="X64" s="186" t="e">
        <f t="shared" si="11"/>
        <v>#REF!</v>
      </c>
      <c r="Y64"/>
      <c r="Z64" s="12">
        <v>56201</v>
      </c>
      <c r="AA64" s="12" t="s">
        <v>354</v>
      </c>
      <c r="AB64" s="12">
        <v>814</v>
      </c>
      <c r="AC64" s="13">
        <f>+H120+H121+H127+H128+H129+H130+H131+H132+H133+H134+H135+H136+H118</f>
        <v>214310.6351020408</v>
      </c>
      <c r="AD64" s="13" t="e">
        <f>+#REF!*1000</f>
        <v>#REF!</v>
      </c>
      <c r="AE64" s="21" t="e">
        <f t="shared" si="15"/>
        <v>#REF!</v>
      </c>
      <c r="AF64" s="87"/>
      <c r="AG64" s="139">
        <f t="shared" ref="AG64:AH67" si="19">+V64-AC64</f>
        <v>82274.092576530616</v>
      </c>
      <c r="AH64" s="139" t="e">
        <f t="shared" si="19"/>
        <v>#REF!</v>
      </c>
      <c r="AI64" s="139" t="e">
        <f>+AG64-AH64</f>
        <v>#REF!</v>
      </c>
      <c r="AJ64" s="13"/>
      <c r="AK64" s="234">
        <f>311*1000</f>
        <v>311000</v>
      </c>
      <c r="AL64" s="237">
        <f>+AC64-AK64</f>
        <v>-96689.364897959196</v>
      </c>
    </row>
    <row r="65" spans="1:38" ht="13.2" x14ac:dyDescent="0.25">
      <c r="A65" s="40">
        <v>56203</v>
      </c>
      <c r="B65" s="110" t="s">
        <v>125</v>
      </c>
      <c r="C65" s="87">
        <v>11627</v>
      </c>
      <c r="D65" s="20"/>
      <c r="E65" s="87">
        <f t="shared" si="4"/>
        <v>11627</v>
      </c>
      <c r="F65" s="20"/>
      <c r="G65" s="16">
        <f t="shared" si="16"/>
        <v>10470.232142857143</v>
      </c>
      <c r="H65" s="98">
        <v>1048.970663265306</v>
      </c>
      <c r="I65" s="74"/>
      <c r="J65" s="87">
        <v>11627</v>
      </c>
      <c r="K65" s="20"/>
      <c r="L65" s="20"/>
      <c r="M65" s="87">
        <f t="shared" si="13"/>
        <v>11627</v>
      </c>
      <c r="N65" s="20"/>
      <c r="O65" s="16">
        <f t="shared" si="17"/>
        <v>10470.232142857143</v>
      </c>
      <c r="P65" s="196">
        <f t="shared" si="18"/>
        <v>1156.7678571428571</v>
      </c>
      <c r="R65" s="139">
        <f t="shared" si="14"/>
        <v>107.79719387755108</v>
      </c>
      <c r="T65" s="12" t="s">
        <v>300</v>
      </c>
      <c r="V65" s="13">
        <f>+P123+P122+(P126-L126)</f>
        <v>185290.19321428577</v>
      </c>
      <c r="W65" s="13" t="e">
        <f>+#REF!*1000</f>
        <v>#REF!</v>
      </c>
      <c r="X65" s="186" t="e">
        <f t="shared" si="11"/>
        <v>#REF!</v>
      </c>
      <c r="Y65"/>
      <c r="Z65" s="12">
        <v>56203</v>
      </c>
      <c r="AA65" s="12" t="s">
        <v>355</v>
      </c>
      <c r="AB65" s="87">
        <v>11627</v>
      </c>
      <c r="AC65" s="13">
        <f>+H123+('Regnsk ON pr mars'!P113-'Regnsk ON pr mars'!L113)+('Regnsk ON pr mars'!P117-'Regnsk ON pr mars'!L117)</f>
        <v>140300.55099489796</v>
      </c>
      <c r="AD65" s="13" t="e">
        <f>+#REF!*1000</f>
        <v>#REF!</v>
      </c>
      <c r="AE65" s="21" t="e">
        <f t="shared" si="15"/>
        <v>#REF!</v>
      </c>
      <c r="AF65" s="87"/>
      <c r="AG65" s="230">
        <f t="shared" si="19"/>
        <v>44989.64221938781</v>
      </c>
      <c r="AH65" s="230" t="e">
        <f t="shared" si="19"/>
        <v>#REF!</v>
      </c>
      <c r="AI65" s="230" t="e">
        <f>+AG65-AH65</f>
        <v>#REF!</v>
      </c>
      <c r="AJ65" s="13"/>
      <c r="AK65" s="234">
        <f>114*1000</f>
        <v>114000</v>
      </c>
      <c r="AL65" s="237">
        <f>+AC65-AK65</f>
        <v>26300.55099489796</v>
      </c>
    </row>
    <row r="66" spans="1:38" ht="13.2" x14ac:dyDescent="0.25">
      <c r="A66" s="40">
        <v>59101</v>
      </c>
      <c r="B66" s="110" t="s">
        <v>126</v>
      </c>
      <c r="C66" s="87">
        <v>3517</v>
      </c>
      <c r="D66" s="20"/>
      <c r="E66" s="87">
        <f t="shared" si="4"/>
        <v>3517</v>
      </c>
      <c r="F66" s="20"/>
      <c r="G66" s="16">
        <f t="shared" si="16"/>
        <v>3167.0943877551022</v>
      </c>
      <c r="H66" s="98">
        <v>188.93112244897958</v>
      </c>
      <c r="I66" s="74"/>
      <c r="J66" s="87">
        <v>3517</v>
      </c>
      <c r="K66" s="20"/>
      <c r="L66" s="20"/>
      <c r="M66" s="87">
        <f t="shared" si="13"/>
        <v>3517</v>
      </c>
      <c r="N66" s="20"/>
      <c r="O66" s="16">
        <f t="shared" si="17"/>
        <v>3167.0943877551022</v>
      </c>
      <c r="P66" s="196">
        <f t="shared" si="18"/>
        <v>349.90561224489795</v>
      </c>
      <c r="R66" s="139">
        <f t="shared" si="14"/>
        <v>160.97448979591837</v>
      </c>
      <c r="T66" s="12" t="s">
        <v>301</v>
      </c>
      <c r="V66" s="13">
        <f>+P93+P94+P95+P96+P97+P98</f>
        <v>245799.76836734696</v>
      </c>
      <c r="W66" s="13" t="e">
        <f>+#REF!*1000</f>
        <v>#REF!</v>
      </c>
      <c r="X66" s="186" t="e">
        <f t="shared" si="11"/>
        <v>#REF!</v>
      </c>
      <c r="Y66"/>
      <c r="Z66" s="12">
        <v>59101</v>
      </c>
      <c r="AA66" s="12" t="s">
        <v>356</v>
      </c>
      <c r="AB66" s="87">
        <v>3517</v>
      </c>
      <c r="AC66" s="13">
        <f>+H93+H94+H95+H96+H97+H98</f>
        <v>205702.1093877551</v>
      </c>
      <c r="AD66" s="13" t="e">
        <f>+#REF!*1000</f>
        <v>#REF!</v>
      </c>
      <c r="AE66" s="21" t="e">
        <f t="shared" si="15"/>
        <v>#REF!</v>
      </c>
      <c r="AF66" s="87"/>
      <c r="AG66" s="139">
        <f t="shared" si="19"/>
        <v>40097.658979591855</v>
      </c>
      <c r="AH66" s="139" t="e">
        <f t="shared" si="19"/>
        <v>#REF!</v>
      </c>
      <c r="AI66" s="139" t="e">
        <f>+AG66-AH66</f>
        <v>#REF!</v>
      </c>
      <c r="AJ66" s="13"/>
      <c r="AK66" s="234">
        <f>206*1000</f>
        <v>206000</v>
      </c>
      <c r="AL66" s="237"/>
    </row>
    <row r="67" spans="1:38" ht="13.2" x14ac:dyDescent="0.25">
      <c r="A67" s="40">
        <v>59103</v>
      </c>
      <c r="B67" s="110" t="s">
        <v>127</v>
      </c>
      <c r="C67" s="87">
        <v>29085</v>
      </c>
      <c r="D67" s="20"/>
      <c r="E67" s="87">
        <f t="shared" si="4"/>
        <v>29085</v>
      </c>
      <c r="F67" s="20"/>
      <c r="G67" s="16">
        <f t="shared" si="16"/>
        <v>26191.339285714286</v>
      </c>
      <c r="H67" s="98">
        <v>2893.6607142857142</v>
      </c>
      <c r="I67" s="74"/>
      <c r="J67" s="87">
        <v>29085</v>
      </c>
      <c r="K67" s="20"/>
      <c r="L67" s="20"/>
      <c r="M67" s="87">
        <f t="shared" si="13"/>
        <v>29085</v>
      </c>
      <c r="N67" s="20"/>
      <c r="O67" s="16">
        <f t="shared" si="17"/>
        <v>26191.339285714286</v>
      </c>
      <c r="P67" s="196">
        <f t="shared" si="18"/>
        <v>2893.6607142857142</v>
      </c>
      <c r="R67" s="139">
        <f t="shared" si="14"/>
        <v>0</v>
      </c>
      <c r="T67" s="12" t="s">
        <v>302</v>
      </c>
      <c r="V67" s="13">
        <f>+P100+P101+P102+P103+P104+P105+P106+P107</f>
        <v>82114.247295918351</v>
      </c>
      <c r="W67" s="13" t="e">
        <f>+#REF!*1000</f>
        <v>#REF!</v>
      </c>
      <c r="X67" s="186" t="e">
        <f t="shared" si="11"/>
        <v>#REF!</v>
      </c>
      <c r="Y67"/>
      <c r="Z67" s="12">
        <v>59103</v>
      </c>
      <c r="AA67" s="12" t="s">
        <v>357</v>
      </c>
      <c r="AB67" s="87">
        <v>29085</v>
      </c>
      <c r="AC67" s="13">
        <f>+H100+H101+H102+H103+H104+H105+H106+H107</f>
        <v>68284.822423469392</v>
      </c>
      <c r="AD67" s="13" t="e">
        <f>+#REF!*1000</f>
        <v>#REF!</v>
      </c>
      <c r="AE67" s="21" t="e">
        <f t="shared" si="15"/>
        <v>#REF!</v>
      </c>
      <c r="AF67" s="87"/>
      <c r="AG67" s="139">
        <f t="shared" si="19"/>
        <v>13829.424872448959</v>
      </c>
      <c r="AH67" s="139" t="e">
        <f t="shared" si="19"/>
        <v>#REF!</v>
      </c>
      <c r="AI67" s="139" t="e">
        <f>+AG67-AH67</f>
        <v>#REF!</v>
      </c>
      <c r="AJ67" s="13"/>
      <c r="AK67" s="234">
        <f>68*1000</f>
        <v>68000</v>
      </c>
      <c r="AL67" s="237"/>
    </row>
    <row r="68" spans="1:38" ht="13.2" x14ac:dyDescent="0.25">
      <c r="A68" s="40">
        <v>59104</v>
      </c>
      <c r="B68" s="110" t="s">
        <v>358</v>
      </c>
      <c r="C68" s="87">
        <v>22500</v>
      </c>
      <c r="D68" s="20"/>
      <c r="E68" s="87">
        <f t="shared" si="4"/>
        <v>22500</v>
      </c>
      <c r="F68" s="20"/>
      <c r="G68" s="16"/>
      <c r="H68" s="98"/>
      <c r="I68" s="74"/>
      <c r="J68" s="87">
        <v>22500</v>
      </c>
      <c r="K68" s="20"/>
      <c r="L68" s="20"/>
      <c r="M68" s="87">
        <f t="shared" si="13"/>
        <v>22500</v>
      </c>
      <c r="N68" s="20"/>
      <c r="O68" s="16">
        <f t="shared" si="17"/>
        <v>20261.479591836734</v>
      </c>
      <c r="P68" s="196">
        <f t="shared" si="18"/>
        <v>2238.5204081632651</v>
      </c>
      <c r="R68" s="139">
        <f t="shared" si="14"/>
        <v>2238.5204081632651</v>
      </c>
      <c r="V68" s="13"/>
      <c r="W68" s="13"/>
      <c r="X68" s="186"/>
      <c r="Y68"/>
      <c r="AB68" s="87"/>
      <c r="AC68" s="13"/>
      <c r="AD68" s="13"/>
      <c r="AE68" s="21"/>
      <c r="AF68" s="87"/>
      <c r="AG68" s="139"/>
      <c r="AH68" s="139"/>
      <c r="AI68" s="139"/>
      <c r="AK68" s="234"/>
      <c r="AL68" s="237"/>
    </row>
    <row r="69" spans="1:38" ht="13.2" x14ac:dyDescent="0.25">
      <c r="A69" s="40">
        <v>59111</v>
      </c>
      <c r="B69" s="110" t="s">
        <v>128</v>
      </c>
      <c r="C69" s="87">
        <v>2010</v>
      </c>
      <c r="D69" s="20"/>
      <c r="E69" s="87">
        <f t="shared" si="4"/>
        <v>2010</v>
      </c>
      <c r="F69" s="20"/>
      <c r="G69" s="16">
        <f t="shared" si="16"/>
        <v>1810.0255102040817</v>
      </c>
      <c r="H69" s="98">
        <v>199.97448979591837</v>
      </c>
      <c r="I69" s="74"/>
      <c r="J69" s="87">
        <v>2010</v>
      </c>
      <c r="K69" s="20"/>
      <c r="L69" s="20"/>
      <c r="M69" s="87">
        <f t="shared" si="13"/>
        <v>2010</v>
      </c>
      <c r="N69" s="20"/>
      <c r="O69" s="16">
        <f t="shared" si="17"/>
        <v>1810.0255102040817</v>
      </c>
      <c r="P69" s="196">
        <f t="shared" si="18"/>
        <v>199.97448979591837</v>
      </c>
      <c r="R69" s="139">
        <f t="shared" si="14"/>
        <v>0</v>
      </c>
      <c r="T69" s="12" t="s">
        <v>303</v>
      </c>
      <c r="V69" s="13">
        <f>+P109+P110+P111+P112+P113+P114+P162+P108+P124+P125</f>
        <v>353601.4094387755</v>
      </c>
      <c r="W69" s="13" t="e">
        <f>+#REF!*1000</f>
        <v>#REF!</v>
      </c>
      <c r="X69" s="186" t="e">
        <f t="shared" si="11"/>
        <v>#REF!</v>
      </c>
      <c r="Y69"/>
      <c r="Z69" s="12">
        <v>59111</v>
      </c>
      <c r="AA69" s="12" t="s">
        <v>359</v>
      </c>
      <c r="AB69" s="87">
        <v>2010</v>
      </c>
      <c r="AC69" s="13">
        <f>+H109+H110+H111+H112+H113+H114+H162+H108+H124+H125</f>
        <v>272249.06494897959</v>
      </c>
      <c r="AD69" s="13" t="e">
        <f>+#REF!*1000</f>
        <v>#REF!</v>
      </c>
      <c r="AE69" s="21" t="e">
        <f t="shared" si="15"/>
        <v>#REF!</v>
      </c>
      <c r="AF69" s="87"/>
      <c r="AG69" s="139">
        <f t="shared" ref="AG69:AH74" si="20">+V69-AC69</f>
        <v>81352.344489795913</v>
      </c>
      <c r="AH69" s="139" t="e">
        <f t="shared" si="20"/>
        <v>#REF!</v>
      </c>
      <c r="AI69" s="139" t="e">
        <f t="shared" ref="AI69:AI74" si="21">+AG69-AH69</f>
        <v>#REF!</v>
      </c>
      <c r="AJ69" s="13"/>
      <c r="AK69" s="234">
        <f>196*1000</f>
        <v>196000</v>
      </c>
      <c r="AL69" s="237">
        <f>+AC69-AK69</f>
        <v>76249.064948979591</v>
      </c>
    </row>
    <row r="70" spans="1:38" ht="13.2" x14ac:dyDescent="0.25">
      <c r="A70" s="40">
        <v>59115</v>
      </c>
      <c r="B70" s="110" t="s">
        <v>244</v>
      </c>
      <c r="C70" s="87">
        <v>1500</v>
      </c>
      <c r="D70" s="20"/>
      <c r="E70" s="87">
        <f t="shared" si="4"/>
        <v>1500</v>
      </c>
      <c r="F70" s="20"/>
      <c r="G70" s="16"/>
      <c r="H70" s="98">
        <v>149.23469387755102</v>
      </c>
      <c r="I70" s="74"/>
      <c r="J70" s="87">
        <v>1500</v>
      </c>
      <c r="K70" s="20"/>
      <c r="L70" s="20"/>
      <c r="M70" s="87">
        <f t="shared" si="13"/>
        <v>1500</v>
      </c>
      <c r="N70" s="20"/>
      <c r="O70" s="16">
        <f t="shared" si="17"/>
        <v>1350.7653061224489</v>
      </c>
      <c r="P70" s="196">
        <f t="shared" si="18"/>
        <v>149.23469387755102</v>
      </c>
      <c r="R70" s="139">
        <f t="shared" si="14"/>
        <v>0</v>
      </c>
      <c r="T70" s="12" t="s">
        <v>304</v>
      </c>
      <c r="V70" s="13">
        <f>+P148+P154+P155+P156+P157+P158+P160</f>
        <v>173066.44377551021</v>
      </c>
      <c r="W70" s="13" t="e">
        <f>+#REF!*1000</f>
        <v>#REF!</v>
      </c>
      <c r="X70" s="186" t="e">
        <f t="shared" si="11"/>
        <v>#REF!</v>
      </c>
      <c r="Y70"/>
      <c r="Z70" s="12">
        <v>59115</v>
      </c>
      <c r="AA70" s="12" t="s">
        <v>244</v>
      </c>
      <c r="AB70" s="87">
        <v>1500</v>
      </c>
      <c r="AC70" s="13">
        <f>+H148+H154+H155+H156+H157+H158+H160</f>
        <v>128053.42477040815</v>
      </c>
      <c r="AD70" s="13" t="e">
        <f>+#REF!*1000</f>
        <v>#REF!</v>
      </c>
      <c r="AE70" s="21" t="e">
        <f t="shared" si="15"/>
        <v>#REF!</v>
      </c>
      <c r="AF70" s="87"/>
      <c r="AG70" s="139">
        <f t="shared" si="20"/>
        <v>45013.019005102062</v>
      </c>
      <c r="AH70" s="139" t="e">
        <f t="shared" si="20"/>
        <v>#REF!</v>
      </c>
      <c r="AI70" s="139" t="e">
        <f t="shared" si="21"/>
        <v>#REF!</v>
      </c>
      <c r="AJ70" s="13"/>
      <c r="AK70" s="234">
        <f>158*1000</f>
        <v>158000</v>
      </c>
      <c r="AL70" s="237">
        <f>+AC70-AK70</f>
        <v>-29946.57522959185</v>
      </c>
    </row>
    <row r="71" spans="1:38" ht="13.2" x14ac:dyDescent="0.25">
      <c r="A71" s="40">
        <v>59123</v>
      </c>
      <c r="B71" s="110" t="s">
        <v>245</v>
      </c>
      <c r="C71" s="87">
        <v>10435</v>
      </c>
      <c r="D71" s="20"/>
      <c r="E71" s="87">
        <f t="shared" si="4"/>
        <v>10435</v>
      </c>
      <c r="F71" s="20"/>
      <c r="G71" s="16"/>
      <c r="H71" s="98">
        <v>859.09438775510205</v>
      </c>
      <c r="I71" s="74"/>
      <c r="J71" s="87">
        <v>10435</v>
      </c>
      <c r="K71" s="20"/>
      <c r="L71" s="20"/>
      <c r="M71" s="87">
        <f t="shared" si="13"/>
        <v>10435</v>
      </c>
      <c r="N71" s="20"/>
      <c r="O71" s="16">
        <f t="shared" si="17"/>
        <v>9396.8239795918362</v>
      </c>
      <c r="P71" s="196">
        <f t="shared" si="18"/>
        <v>1038.1760204081634</v>
      </c>
      <c r="R71" s="139">
        <f t="shared" si="14"/>
        <v>179.08163265306132</v>
      </c>
      <c r="T71" s="12" t="s">
        <v>305</v>
      </c>
      <c r="V71" s="13">
        <f>+P137+P138+P139+P140+P141+P142+P143+P144+P145+P146</f>
        <v>53969.260063775517</v>
      </c>
      <c r="W71" s="13" t="e">
        <f>+#REF!*1000</f>
        <v>#REF!</v>
      </c>
      <c r="X71" s="186" t="e">
        <f t="shared" si="11"/>
        <v>#REF!</v>
      </c>
      <c r="Y71"/>
      <c r="Z71" s="12">
        <v>59123</v>
      </c>
      <c r="AA71" s="12" t="s">
        <v>245</v>
      </c>
      <c r="AB71" s="87">
        <v>10435</v>
      </c>
      <c r="AC71" s="13">
        <f>+H137+H138+H139+H140+H141+H142+H143+H144+H145+H146</f>
        <v>33674.537066326528</v>
      </c>
      <c r="AD71" s="13" t="e">
        <f>+#REF!*1000</f>
        <v>#REF!</v>
      </c>
      <c r="AE71" s="21" t="e">
        <f t="shared" si="15"/>
        <v>#REF!</v>
      </c>
      <c r="AF71" s="87"/>
      <c r="AG71" s="139">
        <f t="shared" si="20"/>
        <v>20294.722997448989</v>
      </c>
      <c r="AH71" s="139" t="e">
        <f t="shared" si="20"/>
        <v>#REF!</v>
      </c>
      <c r="AI71" s="139" t="e">
        <f t="shared" si="21"/>
        <v>#REF!</v>
      </c>
      <c r="AJ71" s="13"/>
      <c r="AK71" s="234">
        <f>34*1000</f>
        <v>34000</v>
      </c>
      <c r="AL71" s="237"/>
    </row>
    <row r="72" spans="1:38" ht="13.2" x14ac:dyDescent="0.25">
      <c r="A72" s="40">
        <v>59161</v>
      </c>
      <c r="B72" s="110" t="s">
        <v>129</v>
      </c>
      <c r="C72" s="87">
        <v>7030.55</v>
      </c>
      <c r="D72" s="20"/>
      <c r="E72" s="87">
        <f t="shared" si="4"/>
        <v>7030.55</v>
      </c>
      <c r="F72" s="20"/>
      <c r="G72" s="16">
        <f t="shared" si="16"/>
        <v>6331.0820153061222</v>
      </c>
      <c r="H72" s="98">
        <v>592.05482142857136</v>
      </c>
      <c r="I72" s="74"/>
      <c r="J72" s="87">
        <v>7030.55</v>
      </c>
      <c r="K72" s="20"/>
      <c r="L72" s="20"/>
      <c r="M72" s="87">
        <f t="shared" si="13"/>
        <v>7030.55</v>
      </c>
      <c r="N72" s="20"/>
      <c r="O72" s="16">
        <f t="shared" si="17"/>
        <v>6331.0820153061222</v>
      </c>
      <c r="P72" s="196">
        <f t="shared" si="18"/>
        <v>699.46798469387761</v>
      </c>
      <c r="R72" s="139">
        <f t="shared" si="14"/>
        <v>107.41316326530625</v>
      </c>
      <c r="T72" s="12" t="s">
        <v>306</v>
      </c>
      <c r="V72" s="13">
        <f>+P177</f>
        <v>9141.5771173469402</v>
      </c>
      <c r="W72" s="13" t="e">
        <f>+#REF!*1000</f>
        <v>#REF!</v>
      </c>
      <c r="X72" s="186" t="e">
        <f t="shared" si="11"/>
        <v>#REF!</v>
      </c>
      <c r="Y72"/>
      <c r="Z72" s="12">
        <v>59161</v>
      </c>
      <c r="AA72" s="12" t="s">
        <v>360</v>
      </c>
      <c r="AB72" s="87">
        <v>7030.55</v>
      </c>
      <c r="AC72" s="13">
        <f>+H177</f>
        <v>6537.5693035714294</v>
      </c>
      <c r="AD72" s="13" t="e">
        <f>+#REF!*1000</f>
        <v>#REF!</v>
      </c>
      <c r="AE72" s="21" t="e">
        <f t="shared" si="15"/>
        <v>#REF!</v>
      </c>
      <c r="AF72" s="87"/>
      <c r="AG72" s="139">
        <f t="shared" si="20"/>
        <v>2604.0078137755108</v>
      </c>
      <c r="AH72" s="139" t="e">
        <f t="shared" si="20"/>
        <v>#REF!</v>
      </c>
      <c r="AI72" s="139" t="e">
        <f t="shared" si="21"/>
        <v>#REF!</v>
      </c>
      <c r="AJ72" s="13"/>
      <c r="AK72" s="234">
        <f>7*1000</f>
        <v>7000</v>
      </c>
      <c r="AL72" s="237"/>
    </row>
    <row r="73" spans="1:38" ht="13.2" x14ac:dyDescent="0.25">
      <c r="A73" s="40">
        <v>59165</v>
      </c>
      <c r="B73" s="110" t="s">
        <v>130</v>
      </c>
      <c r="C73" s="87">
        <v>97464</v>
      </c>
      <c r="D73" s="20"/>
      <c r="E73" s="87">
        <f t="shared" si="4"/>
        <v>97464</v>
      </c>
      <c r="F73" s="20"/>
      <c r="G73" s="16">
        <f t="shared" si="16"/>
        <v>87767.326530612248</v>
      </c>
      <c r="H73" s="98">
        <v>7652.7551020408164</v>
      </c>
      <c r="I73" s="74"/>
      <c r="J73" s="87">
        <v>97464</v>
      </c>
      <c r="K73" s="20"/>
      <c r="L73" s="20"/>
      <c r="M73" s="87">
        <f t="shared" si="13"/>
        <v>97464</v>
      </c>
      <c r="N73" s="20"/>
      <c r="O73" s="16">
        <f t="shared" si="17"/>
        <v>87767.326530612248</v>
      </c>
      <c r="P73" s="196">
        <f t="shared" si="18"/>
        <v>9696.6734693877552</v>
      </c>
      <c r="R73" s="139">
        <f t="shared" si="14"/>
        <v>2043.9183673469388</v>
      </c>
      <c r="T73" s="181" t="s">
        <v>308</v>
      </c>
      <c r="V73" s="13">
        <f>+P88</f>
        <v>22958.957755102041</v>
      </c>
      <c r="W73" s="13" t="e">
        <f>+#REF!*1000</f>
        <v>#REF!</v>
      </c>
      <c r="X73" s="186" t="e">
        <f t="shared" si="11"/>
        <v>#REF!</v>
      </c>
      <c r="Y73"/>
      <c r="Z73" s="12">
        <v>59165</v>
      </c>
      <c r="AA73" s="12" t="s">
        <v>361</v>
      </c>
      <c r="AB73" s="87">
        <v>97464</v>
      </c>
      <c r="AC73" s="13">
        <f>+H88</f>
        <v>17053.487219387756</v>
      </c>
      <c r="AD73" s="13" t="e">
        <f>+#REF!*1000</f>
        <v>#REF!</v>
      </c>
      <c r="AE73" s="21" t="e">
        <f t="shared" si="15"/>
        <v>#REF!</v>
      </c>
      <c r="AF73" s="87"/>
      <c r="AG73" s="139">
        <f t="shared" si="20"/>
        <v>5905.4705357142848</v>
      </c>
      <c r="AH73" s="139" t="e">
        <f t="shared" si="20"/>
        <v>#REF!</v>
      </c>
      <c r="AI73" s="139" t="e">
        <f t="shared" si="21"/>
        <v>#REF!</v>
      </c>
      <c r="AJ73" s="13"/>
      <c r="AK73" s="234">
        <f>17*1000</f>
        <v>17000</v>
      </c>
      <c r="AL73" s="237"/>
    </row>
    <row r="74" spans="1:38" ht="13.2" x14ac:dyDescent="0.25">
      <c r="A74" s="40">
        <v>59215</v>
      </c>
      <c r="B74" s="110" t="s">
        <v>45</v>
      </c>
      <c r="C74" s="87">
        <v>302430.78999999998</v>
      </c>
      <c r="D74" s="20"/>
      <c r="E74" s="87">
        <f t="shared" si="4"/>
        <v>302430.78999999998</v>
      </c>
      <c r="F74" s="20"/>
      <c r="G74" s="16">
        <f t="shared" si="16"/>
        <v>272342.01242346934</v>
      </c>
      <c r="H74" s="98">
        <v>22395.928086734693</v>
      </c>
      <c r="I74" s="74"/>
      <c r="J74" s="87">
        <v>302430.78999999998</v>
      </c>
      <c r="K74" s="20"/>
      <c r="L74" s="20"/>
      <c r="M74" s="87">
        <f t="shared" si="13"/>
        <v>302430.78999999998</v>
      </c>
      <c r="N74" s="20"/>
      <c r="O74" s="16">
        <f t="shared" si="17"/>
        <v>272342.01242346934</v>
      </c>
      <c r="P74" s="196">
        <f t="shared" si="18"/>
        <v>30088.777576530611</v>
      </c>
      <c r="R74" s="139">
        <f t="shared" si="14"/>
        <v>7692.8494897959172</v>
      </c>
      <c r="T74" s="12" t="s">
        <v>307</v>
      </c>
      <c r="V74" s="13">
        <f>+P119+L126+P115+P116</f>
        <v>2509928.6402551024</v>
      </c>
      <c r="W74" s="13" t="e">
        <f>+#REF!*1000</f>
        <v>#REF!</v>
      </c>
      <c r="X74" s="186" t="e">
        <f t="shared" si="11"/>
        <v>#REF!</v>
      </c>
      <c r="Y74"/>
      <c r="Z74" s="12">
        <v>59215</v>
      </c>
      <c r="AA74" s="12" t="s">
        <v>45</v>
      </c>
      <c r="AB74" s="87">
        <v>302430.78999999998</v>
      </c>
      <c r="AC74" s="13">
        <f>+H126+H115+H122+H116-('Regnsk ON pr mars'!P113-'Regnsk ON pr mars'!L113)-('Regnsk ON pr mars'!P117-'Regnsk ON pr mars'!L117)</f>
        <v>1727474.8404336735</v>
      </c>
      <c r="AD74" s="228" t="e">
        <f>+#REF!*1000</f>
        <v>#REF!</v>
      </c>
      <c r="AE74" s="21" t="e">
        <f t="shared" si="15"/>
        <v>#REF!</v>
      </c>
      <c r="AF74" s="87"/>
      <c r="AG74" s="230">
        <f t="shared" si="20"/>
        <v>782453.79982142895</v>
      </c>
      <c r="AH74" s="230" t="e">
        <f t="shared" si="20"/>
        <v>#REF!</v>
      </c>
      <c r="AI74" s="230" t="e">
        <f t="shared" si="21"/>
        <v>#REF!</v>
      </c>
      <c r="AJ74" s="13"/>
      <c r="AK74" s="234">
        <f>1728*1000</f>
        <v>1728000</v>
      </c>
      <c r="AL74" s="237"/>
    </row>
    <row r="75" spans="1:38" ht="13.2" x14ac:dyDescent="0.25">
      <c r="A75" s="40">
        <v>59501</v>
      </c>
      <c r="B75" s="110" t="s">
        <v>131</v>
      </c>
      <c r="C75" s="87">
        <v>113834.07</v>
      </c>
      <c r="D75" s="20"/>
      <c r="E75" s="87">
        <f t="shared" si="4"/>
        <v>113834.07</v>
      </c>
      <c r="F75" s="20"/>
      <c r="G75" s="16">
        <f t="shared" si="16"/>
        <v>102508.74160714286</v>
      </c>
      <c r="H75" s="98">
        <v>641.7091836734694</v>
      </c>
      <c r="I75" s="74"/>
      <c r="J75" s="87">
        <v>113834.07</v>
      </c>
      <c r="K75" s="20"/>
      <c r="L75" s="20"/>
      <c r="M75" s="87">
        <f t="shared" si="13"/>
        <v>113834.07</v>
      </c>
      <c r="N75" s="20"/>
      <c r="O75" s="16">
        <f t="shared" si="17"/>
        <v>102508.74160714286</v>
      </c>
      <c r="P75" s="196">
        <f t="shared" si="18"/>
        <v>11325.328392857144</v>
      </c>
      <c r="R75" s="139">
        <f t="shared" si="14"/>
        <v>10683.619209183675</v>
      </c>
      <c r="W75" s="13"/>
      <c r="X75" s="138"/>
      <c r="Y75"/>
      <c r="Z75" s="12">
        <v>59501</v>
      </c>
      <c r="AA75" s="12" t="s">
        <v>362</v>
      </c>
      <c r="AB75" s="87">
        <v>113834.07</v>
      </c>
      <c r="AC75" s="55"/>
      <c r="AD75" s="55"/>
      <c r="AE75" s="21"/>
      <c r="AF75" s="87"/>
      <c r="AG75" s="139"/>
      <c r="AH75" s="139"/>
      <c r="AI75" s="139"/>
      <c r="AK75" s="232"/>
      <c r="AL75" s="237"/>
    </row>
    <row r="76" spans="1:38" ht="13.2" x14ac:dyDescent="0.25">
      <c r="A76" s="40">
        <v>59511</v>
      </c>
      <c r="B76" s="110" t="s">
        <v>131</v>
      </c>
      <c r="C76" s="87">
        <v>70971.600000000006</v>
      </c>
      <c r="D76" s="20"/>
      <c r="E76" s="87">
        <f t="shared" si="4"/>
        <v>70971.600000000006</v>
      </c>
      <c r="F76" s="20"/>
      <c r="G76" s="16">
        <f t="shared" si="16"/>
        <v>63910.65</v>
      </c>
      <c r="H76" s="98">
        <v>5327.6785714285716</v>
      </c>
      <c r="I76" s="74"/>
      <c r="J76" s="87">
        <v>70971.600000000006</v>
      </c>
      <c r="K76" s="20"/>
      <c r="L76" s="20"/>
      <c r="M76" s="87">
        <f t="shared" si="13"/>
        <v>70971.600000000006</v>
      </c>
      <c r="N76" s="20"/>
      <c r="O76" s="16">
        <f t="shared" si="17"/>
        <v>63910.65</v>
      </c>
      <c r="P76" s="196">
        <f t="shared" si="18"/>
        <v>7060.9500000000007</v>
      </c>
      <c r="R76" s="139">
        <f t="shared" si="14"/>
        <v>1733.2714285714292</v>
      </c>
      <c r="X76" s="138"/>
      <c r="Y76"/>
      <c r="Z76" s="12">
        <v>59511</v>
      </c>
      <c r="AA76" s="12" t="s">
        <v>363</v>
      </c>
      <c r="AB76" s="87">
        <v>70971.600000000006</v>
      </c>
      <c r="AC76"/>
      <c r="AD76" s="43"/>
      <c r="AE76" s="20"/>
      <c r="AF76" s="87"/>
      <c r="AG76" s="138"/>
      <c r="AH76" s="138"/>
      <c r="AI76" s="138"/>
      <c r="AK76" s="232"/>
      <c r="AL76" s="237"/>
    </row>
    <row r="77" spans="1:38" ht="13.8" thickBot="1" x14ac:dyDescent="0.3">
      <c r="A77" s="40">
        <v>59599</v>
      </c>
      <c r="B77" s="111" t="s">
        <v>132</v>
      </c>
      <c r="C77" s="87">
        <v>-70971.600000000006</v>
      </c>
      <c r="D77" s="87"/>
      <c r="E77" s="87">
        <f t="shared" si="4"/>
        <v>-70971.600000000006</v>
      </c>
      <c r="F77" s="20"/>
      <c r="G77" s="16">
        <f t="shared" si="16"/>
        <v>-63910.65</v>
      </c>
      <c r="H77" s="98">
        <v>-5327.6785714285716</v>
      </c>
      <c r="I77" s="85"/>
      <c r="J77" s="87">
        <v>-70971.600000000006</v>
      </c>
      <c r="K77" s="87"/>
      <c r="L77" s="87"/>
      <c r="M77" s="87">
        <f t="shared" si="13"/>
        <v>-70971.600000000006</v>
      </c>
      <c r="N77" s="20"/>
      <c r="O77" s="16">
        <f t="shared" si="17"/>
        <v>-63910.65</v>
      </c>
      <c r="P77" s="196">
        <f>+M77*$H$3</f>
        <v>-7060.9500000000007</v>
      </c>
      <c r="R77" s="139">
        <f t="shared" si="14"/>
        <v>-1733.2714285714292</v>
      </c>
      <c r="T77" s="183" t="s">
        <v>313</v>
      </c>
      <c r="U77" s="183"/>
      <c r="V77" s="184">
        <f>SUM(V58:V76)</f>
        <v>7983158.5033695642</v>
      </c>
      <c r="W77" s="184" t="e">
        <f>SUM(W58:W76)</f>
        <v>#REF!</v>
      </c>
      <c r="X77" s="187" t="e">
        <f>SUM(X58:X76)</f>
        <v>#REF!</v>
      </c>
      <c r="Y77"/>
      <c r="Z77" s="12">
        <v>59599</v>
      </c>
      <c r="AA77" s="12" t="s">
        <v>364</v>
      </c>
      <c r="AB77" s="87">
        <v>-70971.600000000006</v>
      </c>
      <c r="AC77" s="184">
        <f>SUM(AC58:AC76)</f>
        <v>5835163.413179595</v>
      </c>
      <c r="AD77" s="184" t="e">
        <f>SUM(AD58:AD76)</f>
        <v>#REF!</v>
      </c>
      <c r="AE77" s="187" t="e">
        <f>SUM(AE58:AE76)</f>
        <v>#REF!</v>
      </c>
      <c r="AF77" s="87"/>
      <c r="AG77" s="187">
        <f>+V77-AC77</f>
        <v>2147995.0901899692</v>
      </c>
      <c r="AH77" s="187" t="e">
        <f>+W77-AD77</f>
        <v>#REF!</v>
      </c>
      <c r="AI77" s="187" t="e">
        <f>+AG77-AH77</f>
        <v>#REF!</v>
      </c>
      <c r="AJ77" s="13"/>
      <c r="AK77" s="235">
        <f>SUM(AK58:AK76)</f>
        <v>5833770</v>
      </c>
      <c r="AL77" s="237"/>
    </row>
    <row r="78" spans="1:38" ht="13.8" thickTop="1" x14ac:dyDescent="0.25">
      <c r="A78" s="40">
        <v>59901</v>
      </c>
      <c r="B78" s="110" t="s">
        <v>133</v>
      </c>
      <c r="C78" s="87">
        <v>81831</v>
      </c>
      <c r="D78" s="87"/>
      <c r="E78" s="87">
        <f t="shared" si="4"/>
        <v>81831</v>
      </c>
      <c r="G78" s="16">
        <f t="shared" si="16"/>
        <v>73689.650510204083</v>
      </c>
      <c r="H78" s="98">
        <v>8567.2653061224482</v>
      </c>
      <c r="I78" s="85"/>
      <c r="J78" s="87">
        <v>81831</v>
      </c>
      <c r="K78" s="87"/>
      <c r="L78" s="87"/>
      <c r="M78" s="87">
        <f t="shared" si="13"/>
        <v>81831</v>
      </c>
      <c r="O78" s="16">
        <f t="shared" si="17"/>
        <v>73689.650510204083</v>
      </c>
      <c r="P78" s="196">
        <f t="shared" si="18"/>
        <v>8141.3494897959181</v>
      </c>
      <c r="R78" s="139">
        <f t="shared" si="14"/>
        <v>-425.91581632653015</v>
      </c>
      <c r="Y78"/>
      <c r="Z78" s="12">
        <v>59901</v>
      </c>
      <c r="AA78" s="12" t="s">
        <v>365</v>
      </c>
      <c r="AB78" s="87">
        <v>81831</v>
      </c>
      <c r="AC78"/>
      <c r="AD78" s="144"/>
      <c r="AF78" s="87"/>
      <c r="AL78" s="13"/>
    </row>
    <row r="79" spans="1:38" ht="13.2" x14ac:dyDescent="0.25">
      <c r="A79" s="40">
        <v>59913</v>
      </c>
      <c r="B79" s="110" t="s">
        <v>134</v>
      </c>
      <c r="C79" s="87">
        <v>17203</v>
      </c>
      <c r="D79" s="87"/>
      <c r="E79" s="87">
        <f t="shared" si="4"/>
        <v>17203</v>
      </c>
      <c r="G79" s="16">
        <f t="shared" si="16"/>
        <v>15491.477040816326</v>
      </c>
      <c r="H79" s="98">
        <v>1285.6071428571429</v>
      </c>
      <c r="I79" s="85"/>
      <c r="J79" s="87">
        <v>17203</v>
      </c>
      <c r="K79" s="87"/>
      <c r="L79" s="87"/>
      <c r="M79" s="87">
        <f t="shared" si="13"/>
        <v>17203</v>
      </c>
      <c r="O79" s="16">
        <f t="shared" si="17"/>
        <v>15491.477040816326</v>
      </c>
      <c r="P79" s="196">
        <f t="shared" si="18"/>
        <v>1711.5229591836735</v>
      </c>
      <c r="R79" s="139">
        <f t="shared" si="14"/>
        <v>425.9158163265306</v>
      </c>
      <c r="Y79"/>
      <c r="Z79" s="12">
        <v>59913</v>
      </c>
      <c r="AA79" s="12" t="s">
        <v>366</v>
      </c>
      <c r="AB79" s="87">
        <v>17203</v>
      </c>
      <c r="AC79"/>
      <c r="AD79" s="144"/>
      <c r="AF79" s="87"/>
      <c r="AL79" s="13"/>
    </row>
    <row r="80" spans="1:38" ht="13.2" x14ac:dyDescent="0.25">
      <c r="A80" s="40">
        <v>59914</v>
      </c>
      <c r="B80" s="110" t="s">
        <v>134</v>
      </c>
      <c r="C80" s="87">
        <v>-17203</v>
      </c>
      <c r="D80" s="87"/>
      <c r="E80" s="87">
        <f t="shared" si="4"/>
        <v>-17203</v>
      </c>
      <c r="G80" s="16">
        <f t="shared" si="16"/>
        <v>-15491.477040816326</v>
      </c>
      <c r="H80" s="98">
        <v>-1285.6071428571429</v>
      </c>
      <c r="I80" s="85"/>
      <c r="J80" s="87">
        <v>-17203</v>
      </c>
      <c r="K80" s="87"/>
      <c r="L80" s="87"/>
      <c r="M80" s="87">
        <f t="shared" si="13"/>
        <v>-17203</v>
      </c>
      <c r="O80" s="16">
        <f t="shared" si="17"/>
        <v>-15491.477040816326</v>
      </c>
      <c r="P80" s="196">
        <f t="shared" si="18"/>
        <v>-1711.5229591836735</v>
      </c>
      <c r="R80" s="139">
        <f t="shared" si="14"/>
        <v>-425.9158163265306</v>
      </c>
      <c r="T80" s="138" t="s">
        <v>445</v>
      </c>
      <c r="U80" s="138"/>
      <c r="V80" s="139">
        <f>+V55+V77</f>
        <v>664584.25336956419</v>
      </c>
      <c r="W80" s="139" t="e">
        <f>+W55+W77</f>
        <v>#REF!</v>
      </c>
      <c r="X80" s="139" t="e">
        <f>+X55+X77</f>
        <v>#REF!</v>
      </c>
      <c r="Y80"/>
      <c r="Z80" s="12">
        <v>59914</v>
      </c>
      <c r="AA80" s="12" t="s">
        <v>367</v>
      </c>
      <c r="AB80" s="87">
        <v>-17203</v>
      </c>
      <c r="AC80" s="139">
        <f>+AC55+AC77</f>
        <v>358800.36317959428</v>
      </c>
      <c r="AD80" s="139" t="e">
        <f>+AD55+AD77</f>
        <v>#REF!</v>
      </c>
      <c r="AE80" s="139" t="e">
        <f>+AE55+AE77</f>
        <v>#REF!</v>
      </c>
      <c r="AF80" s="87"/>
      <c r="AL80" s="13"/>
    </row>
    <row r="81" spans="1:38" ht="13.2" x14ac:dyDescent="0.25">
      <c r="A81" s="40">
        <v>59920</v>
      </c>
      <c r="B81" s="110" t="s">
        <v>135</v>
      </c>
      <c r="C81" s="87">
        <v>74351.61</v>
      </c>
      <c r="D81" s="87"/>
      <c r="E81" s="87">
        <f t="shared" si="4"/>
        <v>74351.61</v>
      </c>
      <c r="G81" s="16">
        <f t="shared" si="16"/>
        <v>66954.383494897964</v>
      </c>
      <c r="H81" s="98">
        <v>5586.5122193877551</v>
      </c>
      <c r="I81" s="85"/>
      <c r="J81" s="87">
        <v>74351.61</v>
      </c>
      <c r="K81" s="87"/>
      <c r="L81" s="87"/>
      <c r="M81" s="87">
        <f t="shared" si="13"/>
        <v>74351.61</v>
      </c>
      <c r="O81" s="16">
        <f t="shared" si="17"/>
        <v>66954.383494897964</v>
      </c>
      <c r="P81" s="196">
        <f t="shared" si="18"/>
        <v>7397.2265051020404</v>
      </c>
      <c r="R81" s="139">
        <f t="shared" si="14"/>
        <v>1810.7142857142853</v>
      </c>
      <c r="Y81"/>
      <c r="Z81" s="12">
        <v>59920</v>
      </c>
      <c r="AA81" s="12" t="s">
        <v>368</v>
      </c>
      <c r="AB81" s="87">
        <v>74351.61</v>
      </c>
      <c r="AC81"/>
      <c r="AD81"/>
      <c r="AE81"/>
      <c r="AF81" s="87"/>
      <c r="AL81" s="13"/>
    </row>
    <row r="82" spans="1:38" ht="13.2" x14ac:dyDescent="0.25">
      <c r="A82" s="40">
        <v>59921</v>
      </c>
      <c r="B82" s="110" t="s">
        <v>136</v>
      </c>
      <c r="C82" s="87">
        <v>-74351.61</v>
      </c>
      <c r="D82" s="87"/>
      <c r="E82" s="87">
        <f t="shared" si="4"/>
        <v>-74351.61</v>
      </c>
      <c r="G82" s="16">
        <f>+E82*$G$3</f>
        <v>-66954.383494897964</v>
      </c>
      <c r="H82" s="98">
        <v>-5586.5122193877551</v>
      </c>
      <c r="I82" s="85"/>
      <c r="J82" s="87">
        <v>-74351.61</v>
      </c>
      <c r="K82" s="87"/>
      <c r="L82" s="87"/>
      <c r="M82" s="87">
        <f t="shared" si="13"/>
        <v>-74351.61</v>
      </c>
      <c r="O82" s="16">
        <f t="shared" si="17"/>
        <v>-66954.383494897964</v>
      </c>
      <c r="P82" s="196">
        <f t="shared" si="18"/>
        <v>-7397.2265051020404</v>
      </c>
      <c r="R82" s="139">
        <f t="shared" si="14"/>
        <v>-1810.7142857142853</v>
      </c>
      <c r="Y82"/>
      <c r="Z82" s="12">
        <v>59921</v>
      </c>
      <c r="AA82" s="12" t="s">
        <v>369</v>
      </c>
      <c r="AB82" s="87">
        <v>-74351.61</v>
      </c>
      <c r="AC82" s="43"/>
      <c r="AD82" s="144"/>
      <c r="AF82" s="87"/>
    </row>
    <row r="83" spans="1:38" ht="13.2" x14ac:dyDescent="0.25">
      <c r="A83" s="40">
        <v>59924</v>
      </c>
      <c r="B83" s="110" t="s">
        <v>246</v>
      </c>
      <c r="C83" s="87">
        <v>68500</v>
      </c>
      <c r="D83" s="87"/>
      <c r="E83" s="87">
        <f t="shared" si="4"/>
        <v>68500</v>
      </c>
      <c r="G83" s="16"/>
      <c r="H83" s="98">
        <v>6815.0510204081629</v>
      </c>
      <c r="I83" s="85"/>
      <c r="J83" s="87">
        <v>68500</v>
      </c>
      <c r="K83" s="87"/>
      <c r="L83" s="87"/>
      <c r="M83" s="87">
        <f t="shared" si="13"/>
        <v>68500</v>
      </c>
      <c r="O83" s="16">
        <f t="shared" si="17"/>
        <v>61684.948979591834</v>
      </c>
      <c r="P83" s="196">
        <f t="shared" si="18"/>
        <v>6815.0510204081629</v>
      </c>
      <c r="R83" s="139">
        <f t="shared" si="14"/>
        <v>0</v>
      </c>
      <c r="Y83"/>
      <c r="Z83" s="12">
        <v>59924</v>
      </c>
      <c r="AA83" s="12" t="s">
        <v>246</v>
      </c>
      <c r="AB83" s="87">
        <v>68500</v>
      </c>
      <c r="AD83" s="144"/>
      <c r="AF83" s="87"/>
    </row>
    <row r="84" spans="1:38" ht="13.2" x14ac:dyDescent="0.25">
      <c r="A84" s="40">
        <v>59925</v>
      </c>
      <c r="B84" s="110" t="s">
        <v>370</v>
      </c>
      <c r="C84" s="87">
        <v>0</v>
      </c>
      <c r="D84" s="20"/>
      <c r="E84" s="87">
        <f t="shared" si="4"/>
        <v>0</v>
      </c>
      <c r="F84" s="20"/>
      <c r="G84" s="16"/>
      <c r="H84" s="98"/>
      <c r="I84" s="74"/>
      <c r="J84" s="87">
        <v>0</v>
      </c>
      <c r="K84" s="20"/>
      <c r="L84" s="20"/>
      <c r="M84" s="87">
        <f t="shared" si="13"/>
        <v>0</v>
      </c>
      <c r="N84" s="20"/>
      <c r="O84" s="16">
        <f t="shared" si="17"/>
        <v>0</v>
      </c>
      <c r="P84" s="196">
        <f t="shared" si="18"/>
        <v>0</v>
      </c>
      <c r="R84" s="139">
        <f t="shared" si="14"/>
        <v>0</v>
      </c>
      <c r="V84" s="13"/>
      <c r="X84" s="60"/>
      <c r="Y84"/>
      <c r="Z84" s="12">
        <v>59925</v>
      </c>
      <c r="AA84" s="12" t="s">
        <v>370</v>
      </c>
      <c r="AB84" s="87">
        <v>0</v>
      </c>
      <c r="AD84" s="2" t="s">
        <v>466</v>
      </c>
      <c r="AF84" s="87"/>
      <c r="AH84" s="28"/>
    </row>
    <row r="85" spans="1:38" ht="13.2" x14ac:dyDescent="0.25">
      <c r="A85" s="40">
        <v>59941</v>
      </c>
      <c r="B85" s="110" t="s">
        <v>137</v>
      </c>
      <c r="C85" s="87">
        <v>361078.88</v>
      </c>
      <c r="D85" s="87"/>
      <c r="E85" s="87">
        <f t="shared" si="4"/>
        <v>361078.88</v>
      </c>
      <c r="G85" s="16">
        <f t="shared" si="16"/>
        <v>325155.21591836732</v>
      </c>
      <c r="H85" s="98">
        <v>32314.426989795917</v>
      </c>
      <c r="I85" s="85"/>
      <c r="J85" s="87">
        <v>361078.88</v>
      </c>
      <c r="K85" s="87"/>
      <c r="L85" s="87"/>
      <c r="M85" s="87">
        <f>+J85-K85-L85</f>
        <v>361078.88</v>
      </c>
      <c r="O85" s="16">
        <f t="shared" si="17"/>
        <v>325155.21591836732</v>
      </c>
      <c r="P85" s="196">
        <f>+M85*$H$3</f>
        <v>35923.664081632654</v>
      </c>
      <c r="R85" s="139">
        <f t="shared" si="14"/>
        <v>3609.2370918367378</v>
      </c>
      <c r="T85" s="227" t="s">
        <v>446</v>
      </c>
      <c r="U85" s="209"/>
      <c r="V85" s="227" t="s">
        <v>461</v>
      </c>
      <c r="W85" s="227"/>
      <c r="X85" s="124"/>
      <c r="Y85" s="2"/>
      <c r="Z85" s="15">
        <v>59941</v>
      </c>
      <c r="AA85" s="15" t="s">
        <v>137</v>
      </c>
      <c r="AB85" s="118">
        <v>361078.88</v>
      </c>
      <c r="AC85" s="12" t="s">
        <v>233</v>
      </c>
      <c r="AD85" s="87" t="s">
        <v>435</v>
      </c>
      <c r="AE85" s="87" t="s">
        <v>465</v>
      </c>
      <c r="AF85" s="87"/>
      <c r="AG85" s="87" t="s">
        <v>312</v>
      </c>
      <c r="AH85" s="20"/>
    </row>
    <row r="86" spans="1:38" x14ac:dyDescent="0.2">
      <c r="A86" s="20"/>
      <c r="B86" s="110"/>
      <c r="C86" s="12"/>
      <c r="D86" s="87"/>
      <c r="E86" s="87"/>
      <c r="G86" s="16"/>
      <c r="H86" s="22"/>
      <c r="I86" s="85"/>
      <c r="J86" s="12"/>
      <c r="K86" s="87"/>
      <c r="L86" s="87"/>
      <c r="M86" s="87"/>
      <c r="O86" s="16"/>
      <c r="P86" s="196"/>
      <c r="R86" s="20"/>
      <c r="T86" s="209"/>
      <c r="U86" s="209"/>
      <c r="V86" s="209"/>
      <c r="W86" s="209"/>
      <c r="X86" s="209"/>
      <c r="AC86" s="87"/>
      <c r="AF86" s="87"/>
      <c r="AH86" s="20"/>
    </row>
    <row r="87" spans="1:38" ht="13.2" x14ac:dyDescent="0.25">
      <c r="A87" s="40">
        <v>60303</v>
      </c>
      <c r="B87" s="110" t="s">
        <v>138</v>
      </c>
      <c r="C87" s="87">
        <v>252535.83</v>
      </c>
      <c r="D87" s="87"/>
      <c r="E87" s="87">
        <f t="shared" si="4"/>
        <v>252535.83</v>
      </c>
      <c r="G87" s="16">
        <f>+E87</f>
        <v>252535.83</v>
      </c>
      <c r="H87" s="98"/>
      <c r="I87" s="85"/>
      <c r="J87" s="87">
        <v>252535.83</v>
      </c>
      <c r="K87" s="87"/>
      <c r="L87" s="87"/>
      <c r="M87" s="87">
        <f>+J87-K87-L87</f>
        <v>252535.83</v>
      </c>
      <c r="O87" s="16">
        <f>+M87</f>
        <v>252535.83</v>
      </c>
      <c r="P87" s="196"/>
      <c r="R87" s="139">
        <f>+P87-H87</f>
        <v>0</v>
      </c>
      <c r="T87" s="209" t="s">
        <v>447</v>
      </c>
      <c r="U87" s="209"/>
      <c r="V87" s="200">
        <f>+L126</f>
        <v>1468537</v>
      </c>
      <c r="W87" s="209" t="s">
        <v>454</v>
      </c>
      <c r="X87" s="224"/>
      <c r="Y87"/>
      <c r="Z87" s="12">
        <v>60303</v>
      </c>
      <c r="AA87" s="12" t="s">
        <v>371</v>
      </c>
      <c r="AB87" s="87">
        <v>252535.83</v>
      </c>
      <c r="AC87" s="87">
        <f>+'Regnsk ON pr mars'!L117</f>
        <v>947342</v>
      </c>
      <c r="AD87" s="87">
        <f t="shared" ref="AD87:AD92" si="22">+V87-AC87</f>
        <v>521195</v>
      </c>
      <c r="AE87" s="87">
        <v>389166</v>
      </c>
      <c r="AF87" s="87"/>
      <c r="AG87" s="13">
        <f>+AD87-AE87</f>
        <v>132029</v>
      </c>
    </row>
    <row r="88" spans="1:38" ht="13.2" x14ac:dyDescent="0.25">
      <c r="A88" s="40">
        <v>60320</v>
      </c>
      <c r="B88" s="110" t="s">
        <v>139</v>
      </c>
      <c r="C88" s="87">
        <v>230766.96</v>
      </c>
      <c r="D88" s="87"/>
      <c r="E88" s="87">
        <f t="shared" si="4"/>
        <v>230766.96</v>
      </c>
      <c r="G88" s="16">
        <f>+E88*G3</f>
        <v>207808.00224489794</v>
      </c>
      <c r="H88" s="98">
        <v>17053.487219387756</v>
      </c>
      <c r="I88" s="85"/>
      <c r="J88" s="87">
        <v>230766.96</v>
      </c>
      <c r="K88" s="87"/>
      <c r="L88" s="87"/>
      <c r="M88" s="87">
        <f>+J88-K88-L88</f>
        <v>230766.96</v>
      </c>
      <c r="O88" s="16">
        <f>+M88*$G$3</f>
        <v>207808.00224489794</v>
      </c>
      <c r="P88" s="196">
        <f>+M88*$H$3</f>
        <v>22958.957755102041</v>
      </c>
      <c r="R88" s="139">
        <f>+P88-H88</f>
        <v>5905.4705357142848</v>
      </c>
      <c r="T88" s="209" t="s">
        <v>452</v>
      </c>
      <c r="U88" s="209"/>
      <c r="V88" s="200">
        <v>0</v>
      </c>
      <c r="W88" s="209"/>
      <c r="X88" s="224"/>
      <c r="Y88"/>
      <c r="Z88" s="12">
        <v>60320</v>
      </c>
      <c r="AA88" s="12" t="s">
        <v>372</v>
      </c>
      <c r="AB88" s="87">
        <v>230766.96</v>
      </c>
      <c r="AC88" s="12">
        <v>0</v>
      </c>
      <c r="AD88" s="87">
        <f t="shared" si="22"/>
        <v>0</v>
      </c>
      <c r="AE88" s="241"/>
      <c r="AF88" s="87"/>
      <c r="AG88" s="13">
        <f>+AD88-AE88</f>
        <v>0</v>
      </c>
      <c r="AH88" s="20"/>
    </row>
    <row r="89" spans="1:38" ht="13.2" x14ac:dyDescent="0.25">
      <c r="A89" s="40">
        <v>60323</v>
      </c>
      <c r="B89" s="110" t="s">
        <v>140</v>
      </c>
      <c r="C89" s="87">
        <v>107593.04</v>
      </c>
      <c r="D89" s="87"/>
      <c r="E89" s="87">
        <f t="shared" si="4"/>
        <v>107593.04</v>
      </c>
      <c r="G89" s="16">
        <f>+E89</f>
        <v>107593.04</v>
      </c>
      <c r="H89" s="98"/>
      <c r="I89" s="85"/>
      <c r="J89" s="87">
        <v>107593.04</v>
      </c>
      <c r="K89" s="87"/>
      <c r="L89" s="87"/>
      <c r="M89" s="87">
        <f>+J89-K89-L89</f>
        <v>107593.04</v>
      </c>
      <c r="O89" s="16">
        <f>+M89</f>
        <v>107593.04</v>
      </c>
      <c r="P89" s="196"/>
      <c r="R89" s="139">
        <f>+P89-H89</f>
        <v>0</v>
      </c>
      <c r="T89" s="209" t="s">
        <v>448</v>
      </c>
      <c r="U89" s="209"/>
      <c r="V89" s="200">
        <f>+L119</f>
        <v>433333.33</v>
      </c>
      <c r="W89" s="225" t="s">
        <v>456</v>
      </c>
      <c r="X89" s="224"/>
      <c r="Y89"/>
      <c r="Z89" s="12">
        <v>60323</v>
      </c>
      <c r="AA89" s="12" t="s">
        <v>373</v>
      </c>
      <c r="AB89" s="87">
        <v>107593.04</v>
      </c>
      <c r="AC89" s="87">
        <f>+'Regnsk ON pr mars'!L113</f>
        <v>325000</v>
      </c>
      <c r="AD89" s="87">
        <f t="shared" si="22"/>
        <v>108333.33000000002</v>
      </c>
      <c r="AE89" s="241"/>
      <c r="AF89" s="87"/>
      <c r="AG89" s="13">
        <f>+AD89-AE89</f>
        <v>108333.33000000002</v>
      </c>
      <c r="AH89" s="20"/>
    </row>
    <row r="90" spans="1:38" ht="13.2" x14ac:dyDescent="0.25">
      <c r="A90" s="40">
        <v>60324</v>
      </c>
      <c r="B90" s="110" t="s">
        <v>141</v>
      </c>
      <c r="C90" s="87">
        <v>213612.98</v>
      </c>
      <c r="D90" s="87"/>
      <c r="E90" s="87">
        <f t="shared" si="4"/>
        <v>213612.98</v>
      </c>
      <c r="G90" s="16">
        <f>+E90</f>
        <v>213612.98</v>
      </c>
      <c r="H90" s="98"/>
      <c r="I90" s="85"/>
      <c r="J90" s="87">
        <v>213612.98</v>
      </c>
      <c r="K90" s="87"/>
      <c r="L90" s="87"/>
      <c r="M90" s="87">
        <f>+J90-K90-L90</f>
        <v>213612.98</v>
      </c>
      <c r="O90" s="16">
        <f>+M90</f>
        <v>213612.98</v>
      </c>
      <c r="P90" s="196"/>
      <c r="R90" s="139">
        <f>+P90-H90</f>
        <v>0</v>
      </c>
      <c r="T90" s="209" t="s">
        <v>449</v>
      </c>
      <c r="U90" s="209"/>
      <c r="V90" s="200">
        <f>+P116</f>
        <v>130746.06535714287</v>
      </c>
      <c r="W90" s="225" t="s">
        <v>456</v>
      </c>
      <c r="X90" s="224"/>
      <c r="Y90"/>
      <c r="Z90" s="12">
        <v>60324</v>
      </c>
      <c r="AA90" s="12" t="s">
        <v>374</v>
      </c>
      <c r="AB90" s="87">
        <v>213612.98</v>
      </c>
      <c r="AC90" s="13">
        <f>+'Regnsk ON pr mars'!P108</f>
        <v>97268.04451530613</v>
      </c>
      <c r="AD90" s="87">
        <f t="shared" si="22"/>
        <v>33478.02084183674</v>
      </c>
      <c r="AE90" s="241"/>
      <c r="AF90" s="87"/>
      <c r="AG90" s="13">
        <f>+AD90-AE90</f>
        <v>33478.02084183674</v>
      </c>
      <c r="AH90" s="20"/>
    </row>
    <row r="91" spans="1:38" x14ac:dyDescent="0.2">
      <c r="A91" s="40">
        <v>60325</v>
      </c>
      <c r="B91" s="110" t="s">
        <v>142</v>
      </c>
      <c r="C91" s="87">
        <v>145387.28</v>
      </c>
      <c r="D91" s="87"/>
      <c r="E91" s="87">
        <f t="shared" si="4"/>
        <v>145387.28</v>
      </c>
      <c r="G91" s="16">
        <f>+E91</f>
        <v>145387.28</v>
      </c>
      <c r="H91" s="98"/>
      <c r="I91" s="85"/>
      <c r="J91" s="87">
        <v>145387.28</v>
      </c>
      <c r="K91" s="87"/>
      <c r="L91" s="87"/>
      <c r="M91" s="87">
        <f>+J91-K91-L91</f>
        <v>145387.28</v>
      </c>
      <c r="O91" s="16">
        <f>+M91</f>
        <v>145387.28</v>
      </c>
      <c r="P91" s="196"/>
      <c r="R91" s="139">
        <f>+P91-H91</f>
        <v>0</v>
      </c>
      <c r="T91" s="209" t="s">
        <v>450</v>
      </c>
      <c r="U91" s="209"/>
      <c r="V91" s="200">
        <f>+P115</f>
        <v>477312.24489795917</v>
      </c>
      <c r="W91" s="225" t="s">
        <v>455</v>
      </c>
      <c r="X91" s="209"/>
      <c r="AC91" s="13">
        <f>+H115</f>
        <v>357864.79591836734</v>
      </c>
      <c r="AD91" s="87">
        <f t="shared" si="22"/>
        <v>119447.44897959183</v>
      </c>
      <c r="AE91" s="242">
        <v>100834</v>
      </c>
      <c r="AF91" s="87"/>
      <c r="AG91" s="13">
        <f>+AD91-AE91</f>
        <v>18613.448979591834</v>
      </c>
      <c r="AH91" s="20"/>
    </row>
    <row r="92" spans="1:38" ht="13.8" thickBot="1" x14ac:dyDescent="0.3">
      <c r="A92" s="20"/>
      <c r="B92" s="111"/>
      <c r="C92" s="12"/>
      <c r="D92" s="94"/>
      <c r="E92" s="94"/>
      <c r="F92" s="20"/>
      <c r="G92" s="22"/>
      <c r="H92" s="22"/>
      <c r="I92" s="85"/>
      <c r="J92" s="12"/>
      <c r="K92" s="94"/>
      <c r="L92" s="94"/>
      <c r="M92" s="94"/>
      <c r="N92" s="20"/>
      <c r="O92" s="22"/>
      <c r="P92" s="196"/>
      <c r="R92" s="20"/>
      <c r="T92" s="209" t="s">
        <v>451</v>
      </c>
      <c r="U92" s="209"/>
      <c r="V92" s="226">
        <f>SUM(V87:V91)</f>
        <v>2509928.640255102</v>
      </c>
      <c r="W92" s="227"/>
      <c r="X92" s="224"/>
      <c r="Y92"/>
      <c r="Z92" s="12">
        <v>62101</v>
      </c>
      <c r="AA92" s="12" t="s">
        <v>143</v>
      </c>
      <c r="AB92" s="87">
        <v>1939216.89</v>
      </c>
      <c r="AC92" s="231">
        <f>SUM(AC87:AC91)</f>
        <v>1727474.8404336735</v>
      </c>
      <c r="AD92" s="231">
        <f t="shared" si="22"/>
        <v>782453.79982142849</v>
      </c>
      <c r="AE92" s="231">
        <f>SUM(AE87:AE91)</f>
        <v>490000</v>
      </c>
      <c r="AF92" s="87"/>
      <c r="AG92" s="231">
        <f>SUM(AG87:AG91)</f>
        <v>292453.79982142861</v>
      </c>
      <c r="AH92" s="20"/>
    </row>
    <row r="93" spans="1:38" s="15" customFormat="1" ht="12" x14ac:dyDescent="0.25">
      <c r="A93" s="40">
        <v>62101</v>
      </c>
      <c r="B93" s="110" t="s">
        <v>143</v>
      </c>
      <c r="C93" s="87">
        <v>1939216.89</v>
      </c>
      <c r="D93" s="87">
        <f>251250+101452.22+42263.64+109573.76+12978+8272+39950.27+776</f>
        <v>566515.89</v>
      </c>
      <c r="E93" s="118">
        <f t="shared" si="4"/>
        <v>1372701</v>
      </c>
      <c r="G93" s="119">
        <f>+E93*$G$3+D93</f>
        <v>1802647.1476530614</v>
      </c>
      <c r="H93" s="98">
        <v>101104.87147959185</v>
      </c>
      <c r="I93" s="122"/>
      <c r="J93" s="87">
        <v>1939216.89</v>
      </c>
      <c r="K93" s="87">
        <f>251250+101452.22+42263.64+109573.76+12978+8272+39950.27+776</f>
        <v>566515.89</v>
      </c>
      <c r="L93" s="118"/>
      <c r="M93" s="87">
        <f t="shared" ref="M93:M98" si="23">+J93-K93-L93</f>
        <v>1372701</v>
      </c>
      <c r="O93" s="145">
        <f t="shared" ref="O93:O98" si="24">+M93*$G$3+K93</f>
        <v>1802647.1476530614</v>
      </c>
      <c r="P93" s="196">
        <f t="shared" ref="P93:P98" si="25">+M93*$H$3</f>
        <v>136569.74234693879</v>
      </c>
      <c r="Q93" s="137"/>
      <c r="R93" s="139">
        <f t="shared" ref="R93:R98" si="26">+P93-H93</f>
        <v>35464.870867346937</v>
      </c>
      <c r="AH93" s="20"/>
    </row>
    <row r="94" spans="1:38" ht="13.2" x14ac:dyDescent="0.25">
      <c r="A94" s="40">
        <v>62190</v>
      </c>
      <c r="B94" s="110" t="s">
        <v>144</v>
      </c>
      <c r="C94" s="87">
        <v>8226.7900000000009</v>
      </c>
      <c r="D94" s="87"/>
      <c r="E94" s="87">
        <f t="shared" ref="E94:E174" si="27">+C94-D94</f>
        <v>8226.7900000000009</v>
      </c>
      <c r="G94" s="16">
        <f t="shared" ref="G94:G162" si="28">+E94*$G$3</f>
        <v>7408.3083418367351</v>
      </c>
      <c r="H94" s="98">
        <v>1858.3490051020408</v>
      </c>
      <c r="I94" s="122"/>
      <c r="J94" s="87">
        <v>8226.7900000000009</v>
      </c>
      <c r="K94" s="87"/>
      <c r="L94" s="87"/>
      <c r="M94" s="87">
        <f t="shared" si="23"/>
        <v>8226.7900000000009</v>
      </c>
      <c r="O94" s="145">
        <f t="shared" si="24"/>
        <v>7408.3083418367351</v>
      </c>
      <c r="P94" s="196">
        <f t="shared" si="25"/>
        <v>818.48165816326537</v>
      </c>
      <c r="R94" s="139">
        <f t="shared" si="26"/>
        <v>-1039.8673469387754</v>
      </c>
      <c r="X94"/>
      <c r="Y94"/>
      <c r="Z94" s="12">
        <v>62190</v>
      </c>
      <c r="AA94" s="12" t="s">
        <v>144</v>
      </c>
      <c r="AB94" s="87">
        <v>8226.7900000000009</v>
      </c>
      <c r="AC94"/>
      <c r="AD94" s="144"/>
      <c r="AF94" s="87"/>
    </row>
    <row r="95" spans="1:38" ht="13.2" x14ac:dyDescent="0.25">
      <c r="A95" s="40">
        <v>62201</v>
      </c>
      <c r="B95" s="110" t="s">
        <v>145</v>
      </c>
      <c r="C95" s="87">
        <v>536699.48</v>
      </c>
      <c r="D95" s="87"/>
      <c r="E95" s="87">
        <f t="shared" si="27"/>
        <v>536699.48</v>
      </c>
      <c r="G95" s="16">
        <f t="shared" si="28"/>
        <v>483303.3582653061</v>
      </c>
      <c r="H95" s="98">
        <v>44166.132015306124</v>
      </c>
      <c r="I95" s="122"/>
      <c r="J95" s="87">
        <v>536699.48</v>
      </c>
      <c r="K95" s="87"/>
      <c r="L95" s="87"/>
      <c r="M95" s="87">
        <f t="shared" si="23"/>
        <v>536699.48</v>
      </c>
      <c r="O95" s="145">
        <f t="shared" si="24"/>
        <v>483303.3582653061</v>
      </c>
      <c r="P95" s="196">
        <f t="shared" si="25"/>
        <v>53396.121734693872</v>
      </c>
      <c r="R95" s="139">
        <f t="shared" si="26"/>
        <v>9229.9897193877478</v>
      </c>
      <c r="X95"/>
      <c r="Y95"/>
      <c r="Z95" s="12">
        <v>62201</v>
      </c>
      <c r="AA95" s="12" t="s">
        <v>375</v>
      </c>
      <c r="AB95" s="87">
        <v>536699.48</v>
      </c>
      <c r="AC95" s="43"/>
      <c r="AD95" s="144"/>
      <c r="AF95" s="87"/>
    </row>
    <row r="96" spans="1:38" ht="13.2" x14ac:dyDescent="0.25">
      <c r="A96" s="40">
        <v>62501</v>
      </c>
      <c r="B96" s="110" t="s">
        <v>146</v>
      </c>
      <c r="C96" s="87">
        <v>308527.24</v>
      </c>
      <c r="D96" s="87"/>
      <c r="E96" s="87">
        <f t="shared" si="27"/>
        <v>308527.24</v>
      </c>
      <c r="G96" s="16">
        <f t="shared" si="28"/>
        <v>277831.92785714281</v>
      </c>
      <c r="H96" s="98">
        <v>40817.873571428572</v>
      </c>
      <c r="I96" s="122"/>
      <c r="J96" s="87">
        <v>308527.24</v>
      </c>
      <c r="K96" s="87"/>
      <c r="L96" s="87"/>
      <c r="M96" s="87">
        <f t="shared" si="23"/>
        <v>308527.24</v>
      </c>
      <c r="O96" s="145">
        <f t="shared" si="24"/>
        <v>277831.92785714281</v>
      </c>
      <c r="P96" s="196">
        <f t="shared" si="25"/>
        <v>30695.312142857143</v>
      </c>
      <c r="R96" s="139">
        <f t="shared" si="26"/>
        <v>-10122.561428571429</v>
      </c>
      <c r="X96"/>
      <c r="Y96"/>
      <c r="Z96" s="12">
        <v>62501</v>
      </c>
      <c r="AA96" s="12" t="s">
        <v>146</v>
      </c>
      <c r="AB96" s="87">
        <v>308527.24</v>
      </c>
      <c r="AC96" s="144"/>
      <c r="AD96" s="144"/>
      <c r="AF96" s="87"/>
    </row>
    <row r="97" spans="1:34" ht="13.2" x14ac:dyDescent="0.25">
      <c r="A97" s="40">
        <v>62701</v>
      </c>
      <c r="B97" s="110" t="s">
        <v>147</v>
      </c>
      <c r="C97" s="12">
        <v>94</v>
      </c>
      <c r="D97" s="87"/>
      <c r="E97" s="87">
        <f t="shared" si="27"/>
        <v>94</v>
      </c>
      <c r="G97" s="16">
        <f t="shared" si="28"/>
        <v>84.647959183673464</v>
      </c>
      <c r="H97" s="98">
        <v>9.3520408163265305</v>
      </c>
      <c r="I97" s="122"/>
      <c r="J97" s="12">
        <v>94</v>
      </c>
      <c r="K97" s="87"/>
      <c r="L97" s="87"/>
      <c r="M97" s="87">
        <f t="shared" si="23"/>
        <v>94</v>
      </c>
      <c r="O97" s="145">
        <f t="shared" si="24"/>
        <v>84.647959183673464</v>
      </c>
      <c r="P97" s="196">
        <f t="shared" si="25"/>
        <v>9.3520408163265305</v>
      </c>
      <c r="R97" s="139">
        <f t="shared" si="26"/>
        <v>0</v>
      </c>
      <c r="X97"/>
      <c r="Y97"/>
      <c r="Z97" s="12">
        <v>62701</v>
      </c>
      <c r="AA97" s="12" t="s">
        <v>376</v>
      </c>
      <c r="AB97" s="12">
        <v>94</v>
      </c>
      <c r="AC97"/>
      <c r="AD97"/>
      <c r="AF97" s="87"/>
    </row>
    <row r="98" spans="1:34" ht="13.2" x14ac:dyDescent="0.25">
      <c r="A98" s="40">
        <v>62703</v>
      </c>
      <c r="B98" s="110" t="s">
        <v>247</v>
      </c>
      <c r="C98" s="87">
        <v>244354.29</v>
      </c>
      <c r="D98" s="87"/>
      <c r="E98" s="87">
        <f t="shared" si="27"/>
        <v>244354.29</v>
      </c>
      <c r="G98" s="16"/>
      <c r="H98" s="98">
        <v>17745.531275510202</v>
      </c>
      <c r="I98" s="122"/>
      <c r="J98" s="87">
        <v>244354.29</v>
      </c>
      <c r="K98" s="87"/>
      <c r="L98" s="87"/>
      <c r="M98" s="87">
        <f t="shared" si="23"/>
        <v>244354.29</v>
      </c>
      <c r="O98" s="145">
        <f t="shared" si="24"/>
        <v>220043.53155612244</v>
      </c>
      <c r="P98" s="196">
        <f t="shared" si="25"/>
        <v>24310.758443877552</v>
      </c>
      <c r="R98" s="139">
        <f t="shared" si="26"/>
        <v>6565.2271683673498</v>
      </c>
      <c r="X98"/>
      <c r="Y98"/>
      <c r="Z98" s="12">
        <v>62703</v>
      </c>
      <c r="AA98" s="12" t="s">
        <v>247</v>
      </c>
      <c r="AB98" s="87">
        <v>244354.29</v>
      </c>
      <c r="AC98"/>
      <c r="AD98" s="245" t="s">
        <v>466</v>
      </c>
      <c r="AF98" s="87"/>
    </row>
    <row r="99" spans="1:34" ht="13.2" x14ac:dyDescent="0.25">
      <c r="A99" s="20"/>
      <c r="B99" s="111"/>
      <c r="C99" s="12"/>
      <c r="D99" s="94"/>
      <c r="E99" s="94"/>
      <c r="F99" s="20"/>
      <c r="G99" s="22"/>
      <c r="H99" s="22"/>
      <c r="I99" s="122"/>
      <c r="J99" s="12"/>
      <c r="K99" s="94"/>
      <c r="L99" s="94"/>
      <c r="M99" s="94"/>
      <c r="N99" s="20"/>
      <c r="O99" s="22"/>
      <c r="P99" s="196"/>
      <c r="R99" s="20"/>
      <c r="AC99"/>
      <c r="AD99" s="14" t="s">
        <v>435</v>
      </c>
      <c r="AE99" s="14" t="s">
        <v>465</v>
      </c>
      <c r="AF99" s="246"/>
      <c r="AG99" s="14" t="s">
        <v>312</v>
      </c>
    </row>
    <row r="100" spans="1:34" ht="13.2" x14ac:dyDescent="0.25">
      <c r="A100" s="40">
        <v>63302</v>
      </c>
      <c r="B100" s="110" t="s">
        <v>148</v>
      </c>
      <c r="C100" s="87">
        <v>11771.13</v>
      </c>
      <c r="D100" s="87"/>
      <c r="E100" s="87">
        <f t="shared" si="27"/>
        <v>11771.13</v>
      </c>
      <c r="G100" s="16">
        <f t="shared" si="28"/>
        <v>10600.022678571428</v>
      </c>
      <c r="H100" s="98">
        <v>91.486836734693867</v>
      </c>
      <c r="I100" s="122"/>
      <c r="J100" s="87">
        <v>11771.13</v>
      </c>
      <c r="K100" s="87"/>
      <c r="L100" s="87"/>
      <c r="M100" s="87">
        <f t="shared" ref="M100:M165" si="29">+J100-K100-L100</f>
        <v>11771.13</v>
      </c>
      <c r="O100" s="145">
        <f>+M100*$G$3+K100</f>
        <v>10600.022678571428</v>
      </c>
      <c r="P100" s="196">
        <f t="shared" ref="P100:P106" si="30">+M100*$H$3</f>
        <v>1171.1073214285714</v>
      </c>
      <c r="R100" s="139">
        <f t="shared" ref="R100:R164" si="31">+P100-H100</f>
        <v>1079.6204846938774</v>
      </c>
      <c r="X100"/>
      <c r="Y100"/>
      <c r="Z100" s="12">
        <v>63302</v>
      </c>
      <c r="AA100" s="12" t="s">
        <v>148</v>
      </c>
      <c r="AB100" s="87">
        <v>11771.13</v>
      </c>
      <c r="AC100"/>
      <c r="AD100"/>
      <c r="AF100" s="87"/>
    </row>
    <row r="101" spans="1:34" ht="13.2" x14ac:dyDescent="0.25">
      <c r="A101" s="40">
        <v>63303</v>
      </c>
      <c r="B101" s="110" t="s">
        <v>149</v>
      </c>
      <c r="C101" s="87">
        <v>14816</v>
      </c>
      <c r="D101" s="87"/>
      <c r="E101" s="87">
        <f t="shared" si="27"/>
        <v>14816</v>
      </c>
      <c r="G101" s="16">
        <f t="shared" si="28"/>
        <v>13341.959183673469</v>
      </c>
      <c r="H101" s="98">
        <v>1474.0408163265306</v>
      </c>
      <c r="I101" s="85"/>
      <c r="J101" s="87">
        <v>14816</v>
      </c>
      <c r="K101" s="87"/>
      <c r="L101" s="87"/>
      <c r="M101" s="87">
        <f t="shared" si="29"/>
        <v>14816</v>
      </c>
      <c r="O101" s="145">
        <f t="shared" ref="O101:O106" si="32">+M101*$G$3+K101</f>
        <v>13341.959183673469</v>
      </c>
      <c r="P101" s="196">
        <f t="shared" si="30"/>
        <v>1474.0408163265306</v>
      </c>
      <c r="R101" s="139">
        <f t="shared" si="31"/>
        <v>0</v>
      </c>
      <c r="X101"/>
      <c r="Y101"/>
      <c r="Z101" s="12">
        <v>63303</v>
      </c>
      <c r="AA101" s="12" t="s">
        <v>377</v>
      </c>
      <c r="AB101" s="87">
        <v>14816</v>
      </c>
      <c r="AC101" s="28" t="s">
        <v>447</v>
      </c>
      <c r="AD101" s="43">
        <v>521195</v>
      </c>
      <c r="AE101" s="13">
        <v>389166</v>
      </c>
      <c r="AF101" s="13"/>
      <c r="AG101" s="13">
        <v>132029</v>
      </c>
      <c r="AH101" s="13"/>
    </row>
    <row r="102" spans="1:34" ht="13.2" x14ac:dyDescent="0.25">
      <c r="A102" s="40">
        <v>64101</v>
      </c>
      <c r="B102" s="110" t="s">
        <v>150</v>
      </c>
      <c r="C102" s="87">
        <v>102809.83</v>
      </c>
      <c r="D102" s="87"/>
      <c r="E102" s="87">
        <f t="shared" si="27"/>
        <v>102809.83</v>
      </c>
      <c r="G102" s="16">
        <f t="shared" si="28"/>
        <v>92581.30099489796</v>
      </c>
      <c r="H102" s="98">
        <v>9750.6596173469388</v>
      </c>
      <c r="I102" s="85"/>
      <c r="J102" s="87">
        <v>102809.83</v>
      </c>
      <c r="K102" s="87"/>
      <c r="L102" s="87"/>
      <c r="M102" s="87">
        <f t="shared" si="29"/>
        <v>102809.83</v>
      </c>
      <c r="O102" s="145">
        <f t="shared" si="32"/>
        <v>92581.30099489796</v>
      </c>
      <c r="P102" s="196">
        <f t="shared" si="30"/>
        <v>10228.52900510204</v>
      </c>
      <c r="R102" s="139">
        <f t="shared" si="31"/>
        <v>477.86938775510134</v>
      </c>
      <c r="X102"/>
      <c r="Y102"/>
      <c r="Z102" s="12">
        <v>64101</v>
      </c>
      <c r="AA102" s="12" t="s">
        <v>378</v>
      </c>
      <c r="AB102" s="87">
        <v>102809.83</v>
      </c>
      <c r="AC102" s="28" t="s">
        <v>452</v>
      </c>
      <c r="AD102" s="43">
        <v>0</v>
      </c>
      <c r="AE102" s="13"/>
      <c r="AF102" s="13"/>
      <c r="AG102" s="13">
        <v>0</v>
      </c>
      <c r="AH102" s="13"/>
    </row>
    <row r="103" spans="1:34" ht="13.2" x14ac:dyDescent="0.25">
      <c r="A103" s="40">
        <v>64201</v>
      </c>
      <c r="B103" s="110" t="s">
        <v>151</v>
      </c>
      <c r="C103" s="87">
        <v>138521.81</v>
      </c>
      <c r="D103" s="87"/>
      <c r="E103" s="87">
        <f t="shared" si="27"/>
        <v>138521.81</v>
      </c>
      <c r="G103" s="16">
        <f t="shared" si="28"/>
        <v>124740.30339285714</v>
      </c>
      <c r="H103" s="98">
        <v>5909.3396938775513</v>
      </c>
      <c r="I103" s="85"/>
      <c r="J103" s="87">
        <v>138521.81</v>
      </c>
      <c r="K103" s="87"/>
      <c r="L103" s="87"/>
      <c r="M103" s="87">
        <f t="shared" si="29"/>
        <v>138521.81</v>
      </c>
      <c r="O103" s="145">
        <f t="shared" si="32"/>
        <v>124740.30339285714</v>
      </c>
      <c r="P103" s="196">
        <f t="shared" si="30"/>
        <v>13781.506607142857</v>
      </c>
      <c r="R103" s="139">
        <f t="shared" si="31"/>
        <v>7872.166913265306</v>
      </c>
      <c r="X103"/>
      <c r="Y103"/>
      <c r="Z103" s="12">
        <v>64201</v>
      </c>
      <c r="AA103" s="12" t="s">
        <v>379</v>
      </c>
      <c r="AB103" s="87">
        <v>138521.81</v>
      </c>
      <c r="AC103" s="28" t="s">
        <v>448</v>
      </c>
      <c r="AD103" s="43">
        <v>108333.33000000002</v>
      </c>
      <c r="AE103" s="13"/>
      <c r="AF103" s="13"/>
      <c r="AG103" s="13">
        <v>108333.33000000002</v>
      </c>
      <c r="AH103" s="13"/>
    </row>
    <row r="104" spans="1:34" ht="13.2" x14ac:dyDescent="0.25">
      <c r="A104" s="40">
        <v>64515</v>
      </c>
      <c r="B104" s="110" t="s">
        <v>152</v>
      </c>
      <c r="C104" s="87">
        <v>132838</v>
      </c>
      <c r="D104" s="87"/>
      <c r="E104" s="87">
        <f t="shared" si="27"/>
        <v>132838</v>
      </c>
      <c r="G104" s="16">
        <f t="shared" si="28"/>
        <v>119621.97448979592</v>
      </c>
      <c r="H104" s="98">
        <v>11438.560714285713</v>
      </c>
      <c r="I104" s="85"/>
      <c r="J104" s="87">
        <v>132838</v>
      </c>
      <c r="K104" s="87"/>
      <c r="L104" s="87"/>
      <c r="M104" s="87">
        <f t="shared" si="29"/>
        <v>132838</v>
      </c>
      <c r="O104" s="145">
        <f t="shared" si="32"/>
        <v>119621.97448979592</v>
      </c>
      <c r="P104" s="196">
        <f>+M104*$H$3</f>
        <v>13216.025510204081</v>
      </c>
      <c r="R104" s="139">
        <f t="shared" si="31"/>
        <v>1777.4647959183676</v>
      </c>
      <c r="X104"/>
      <c r="Y104"/>
      <c r="Z104" s="12">
        <v>64515</v>
      </c>
      <c r="AA104" s="12" t="s">
        <v>152</v>
      </c>
      <c r="AB104" s="87">
        <v>132838</v>
      </c>
      <c r="AC104" s="28" t="s">
        <v>449</v>
      </c>
      <c r="AD104" s="43">
        <v>33478.02084183674</v>
      </c>
      <c r="AE104" s="13"/>
      <c r="AF104" s="13"/>
      <c r="AG104" s="13">
        <v>33478.02084183674</v>
      </c>
      <c r="AH104" s="13"/>
    </row>
    <row r="105" spans="1:34" ht="13.2" x14ac:dyDescent="0.25">
      <c r="A105" s="40">
        <v>64701</v>
      </c>
      <c r="B105" s="110" t="s">
        <v>153</v>
      </c>
      <c r="C105" s="87">
        <v>359424.81</v>
      </c>
      <c r="D105" s="87"/>
      <c r="E105" s="87">
        <f t="shared" si="27"/>
        <v>359424.81</v>
      </c>
      <c r="G105" s="16">
        <f t="shared" si="28"/>
        <v>323665.70900510205</v>
      </c>
      <c r="H105" s="98">
        <v>35834.572959183679</v>
      </c>
      <c r="I105" s="85"/>
      <c r="J105" s="87">
        <v>359424.81</v>
      </c>
      <c r="K105" s="87"/>
      <c r="L105" s="87"/>
      <c r="M105" s="87">
        <f t="shared" si="29"/>
        <v>359424.81</v>
      </c>
      <c r="O105" s="145">
        <f t="shared" si="32"/>
        <v>323665.70900510205</v>
      </c>
      <c r="P105" s="196">
        <f t="shared" si="30"/>
        <v>35759.100994897955</v>
      </c>
      <c r="R105" s="139">
        <f t="shared" si="31"/>
        <v>-75.471964285723516</v>
      </c>
      <c r="X105"/>
      <c r="Y105"/>
      <c r="Z105" s="12">
        <v>64701</v>
      </c>
      <c r="AA105" s="12" t="s">
        <v>380</v>
      </c>
      <c r="AB105" s="87">
        <v>359424.81</v>
      </c>
      <c r="AC105" s="28" t="s">
        <v>450</v>
      </c>
      <c r="AD105" s="43">
        <v>119447.44897959183</v>
      </c>
      <c r="AE105" s="13">
        <v>100834</v>
      </c>
      <c r="AF105" s="13"/>
      <c r="AG105" s="13">
        <v>18613.448979591834</v>
      </c>
      <c r="AH105" s="13"/>
    </row>
    <row r="106" spans="1:34" ht="13.8" thickBot="1" x14ac:dyDescent="0.3">
      <c r="A106" s="40">
        <v>64705</v>
      </c>
      <c r="B106" s="110" t="s">
        <v>154</v>
      </c>
      <c r="C106" s="87">
        <v>65171.88</v>
      </c>
      <c r="D106" s="87"/>
      <c r="E106" s="87">
        <f t="shared" si="27"/>
        <v>65171.88</v>
      </c>
      <c r="G106" s="16">
        <f t="shared" si="28"/>
        <v>58687.942959183667</v>
      </c>
      <c r="H106" s="98">
        <v>3786.1617857142855</v>
      </c>
      <c r="I106" s="85"/>
      <c r="J106" s="87">
        <v>65171.88</v>
      </c>
      <c r="K106" s="87"/>
      <c r="L106" s="87"/>
      <c r="M106" s="87">
        <f t="shared" si="29"/>
        <v>65171.88</v>
      </c>
      <c r="O106" s="145">
        <f t="shared" si="32"/>
        <v>58687.942959183667</v>
      </c>
      <c r="P106" s="196">
        <f t="shared" si="30"/>
        <v>6483.9370408163259</v>
      </c>
      <c r="R106" s="139">
        <f t="shared" si="31"/>
        <v>2697.7752551020403</v>
      </c>
      <c r="X106"/>
      <c r="Y106"/>
      <c r="Z106" s="12">
        <v>64705</v>
      </c>
      <c r="AA106" s="12" t="s">
        <v>381</v>
      </c>
      <c r="AB106" s="87">
        <v>65171.88</v>
      </c>
      <c r="AC106" s="247" t="s">
        <v>451</v>
      </c>
      <c r="AD106" s="243">
        <v>782453.79982142849</v>
      </c>
      <c r="AE106" s="244">
        <v>490000</v>
      </c>
      <c r="AF106" s="244"/>
      <c r="AG106" s="244">
        <v>292453.79982142861</v>
      </c>
      <c r="AH106" s="13"/>
    </row>
    <row r="107" spans="1:34" ht="13.2" x14ac:dyDescent="0.25">
      <c r="A107" s="40">
        <v>64801</v>
      </c>
      <c r="B107" s="110" t="s">
        <v>155</v>
      </c>
      <c r="C107" s="87">
        <v>23881</v>
      </c>
      <c r="D107" s="87"/>
      <c r="E107" s="87">
        <f t="shared" si="27"/>
        <v>23881</v>
      </c>
      <c r="G107" s="16">
        <f>+E107</f>
        <v>23881</v>
      </c>
      <c r="H107" s="98"/>
      <c r="I107" s="85"/>
      <c r="J107" s="87">
        <v>23881</v>
      </c>
      <c r="K107" s="87"/>
      <c r="L107" s="87"/>
      <c r="M107" s="87">
        <f t="shared" si="29"/>
        <v>23881</v>
      </c>
      <c r="O107" s="16">
        <f>+M107</f>
        <v>23881</v>
      </c>
      <c r="P107" s="196"/>
      <c r="R107" s="139">
        <f t="shared" si="31"/>
        <v>0</v>
      </c>
      <c r="X107"/>
      <c r="Y107"/>
      <c r="Z107" s="12">
        <v>64801</v>
      </c>
      <c r="AA107" s="12" t="s">
        <v>382</v>
      </c>
      <c r="AB107" s="87">
        <v>23881</v>
      </c>
      <c r="AH107" s="13"/>
    </row>
    <row r="108" spans="1:34" ht="13.2" x14ac:dyDescent="0.25">
      <c r="A108" s="40">
        <v>66101</v>
      </c>
      <c r="B108" s="110" t="s">
        <v>156</v>
      </c>
      <c r="C108" s="87">
        <v>14300</v>
      </c>
      <c r="D108" s="87"/>
      <c r="E108" s="87">
        <f t="shared" si="27"/>
        <v>14300</v>
      </c>
      <c r="G108" s="16">
        <f t="shared" si="28"/>
        <v>12877.295918367347</v>
      </c>
      <c r="H108" s="98">
        <v>1472.4489795918366</v>
      </c>
      <c r="I108" s="85"/>
      <c r="J108" s="87">
        <v>14300</v>
      </c>
      <c r="K108" s="87"/>
      <c r="L108" s="87"/>
      <c r="M108" s="87">
        <f t="shared" si="29"/>
        <v>14300</v>
      </c>
      <c r="O108" s="145">
        <f t="shared" ref="O108:O116" si="33">+M108*$G$3+K108</f>
        <v>12877.295918367347</v>
      </c>
      <c r="P108" s="199">
        <f t="shared" ref="P108:P148" si="34">+M108*$H$3</f>
        <v>1422.704081632653</v>
      </c>
      <c r="R108" s="139">
        <f t="shared" si="31"/>
        <v>-49.744897959183618</v>
      </c>
      <c r="X108"/>
      <c r="Y108"/>
      <c r="Z108" s="12">
        <v>66101</v>
      </c>
      <c r="AA108" s="12" t="s">
        <v>383</v>
      </c>
      <c r="AB108" s="87">
        <v>14300</v>
      </c>
      <c r="AC108"/>
      <c r="AD108" s="43"/>
      <c r="AE108" s="13"/>
      <c r="AF108" s="13"/>
      <c r="AG108" s="13"/>
      <c r="AH108" s="13"/>
    </row>
    <row r="109" spans="1:34" ht="13.2" x14ac:dyDescent="0.25">
      <c r="A109" s="40">
        <v>66305</v>
      </c>
      <c r="B109" s="110" t="s">
        <v>157</v>
      </c>
      <c r="C109" s="87">
        <v>1564720.08</v>
      </c>
      <c r="D109" s="87"/>
      <c r="E109" s="87">
        <f t="shared" si="27"/>
        <v>1564720.08</v>
      </c>
      <c r="G109" s="16">
        <f t="shared" si="28"/>
        <v>1409046.3985714286</v>
      </c>
      <c r="H109" s="98">
        <v>114392.71867346938</v>
      </c>
      <c r="I109" s="85"/>
      <c r="J109" s="87">
        <v>1564720.08</v>
      </c>
      <c r="K109" s="87"/>
      <c r="L109" s="87"/>
      <c r="M109" s="87">
        <f t="shared" si="29"/>
        <v>1564720.08</v>
      </c>
      <c r="O109" s="145">
        <f t="shared" si="33"/>
        <v>1409046.3985714286</v>
      </c>
      <c r="P109" s="199">
        <f t="shared" si="34"/>
        <v>155673.68142857144</v>
      </c>
      <c r="R109" s="139">
        <f t="shared" si="31"/>
        <v>41280.962755102053</v>
      </c>
      <c r="X109"/>
      <c r="Y109"/>
      <c r="Z109" s="12">
        <v>66305</v>
      </c>
      <c r="AA109" s="12" t="s">
        <v>384</v>
      </c>
      <c r="AB109" s="87">
        <v>1564720.08</v>
      </c>
      <c r="AC109"/>
      <c r="AD109" s="144"/>
      <c r="AF109" s="87"/>
    </row>
    <row r="110" spans="1:34" ht="13.2" x14ac:dyDescent="0.25">
      <c r="A110" s="40">
        <v>66401</v>
      </c>
      <c r="B110" s="110" t="s">
        <v>158</v>
      </c>
      <c r="C110" s="87">
        <v>97180</v>
      </c>
      <c r="D110" s="87"/>
      <c r="E110" s="87">
        <f t="shared" si="27"/>
        <v>97180</v>
      </c>
      <c r="G110" s="16">
        <f t="shared" si="28"/>
        <v>87511.581632653062</v>
      </c>
      <c r="H110" s="98">
        <v>7191.1224489795914</v>
      </c>
      <c r="I110" s="85"/>
      <c r="J110" s="87">
        <v>97180</v>
      </c>
      <c r="K110" s="87"/>
      <c r="L110" s="87"/>
      <c r="M110" s="87">
        <f t="shared" si="29"/>
        <v>97180</v>
      </c>
      <c r="O110" s="145">
        <f t="shared" si="33"/>
        <v>87511.581632653062</v>
      </c>
      <c r="P110" s="199">
        <f t="shared" si="34"/>
        <v>9668.4183673469379</v>
      </c>
      <c r="R110" s="139">
        <f t="shared" si="31"/>
        <v>2477.2959183673465</v>
      </c>
      <c r="X110"/>
      <c r="Y110"/>
      <c r="Z110" s="12">
        <v>66401</v>
      </c>
      <c r="AA110" s="12" t="s">
        <v>385</v>
      </c>
      <c r="AB110" s="87">
        <v>97180</v>
      </c>
      <c r="AC110"/>
      <c r="AD110" s="144"/>
      <c r="AF110" s="87"/>
    </row>
    <row r="111" spans="1:34" ht="13.2" x14ac:dyDescent="0.25">
      <c r="A111" s="40">
        <v>66402</v>
      </c>
      <c r="B111" s="110" t="s">
        <v>159</v>
      </c>
      <c r="C111" s="87">
        <v>418991.92</v>
      </c>
      <c r="D111" s="87"/>
      <c r="E111" s="87">
        <f t="shared" si="27"/>
        <v>418991.92</v>
      </c>
      <c r="G111" s="16">
        <f t="shared" si="28"/>
        <v>377306.49938775506</v>
      </c>
      <c r="H111" s="98">
        <v>40204.525943877554</v>
      </c>
      <c r="I111" s="85"/>
      <c r="J111" s="87">
        <v>418991.92</v>
      </c>
      <c r="K111" s="87"/>
      <c r="L111" s="87"/>
      <c r="M111" s="87">
        <f t="shared" si="29"/>
        <v>418991.92</v>
      </c>
      <c r="O111" s="145">
        <f t="shared" si="33"/>
        <v>377306.49938775506</v>
      </c>
      <c r="P111" s="199">
        <f t="shared" si="34"/>
        <v>41685.420612244896</v>
      </c>
      <c r="R111" s="139">
        <f t="shared" si="31"/>
        <v>1480.8946683673421</v>
      </c>
      <c r="X111"/>
      <c r="Y111"/>
      <c r="Z111" s="12">
        <v>66402</v>
      </c>
      <c r="AA111" s="12" t="s">
        <v>386</v>
      </c>
      <c r="AB111" s="87">
        <v>418991.92</v>
      </c>
      <c r="AC111"/>
      <c r="AD111" s="144"/>
      <c r="AF111" s="87"/>
    </row>
    <row r="112" spans="1:34" ht="13.2" x14ac:dyDescent="0.25">
      <c r="A112" s="40">
        <v>66412</v>
      </c>
      <c r="B112" s="110" t="s">
        <v>160</v>
      </c>
      <c r="C112" s="87">
        <v>15126</v>
      </c>
      <c r="D112" s="87"/>
      <c r="E112" s="87">
        <f t="shared" si="27"/>
        <v>15126</v>
      </c>
      <c r="G112" s="16">
        <f t="shared" si="28"/>
        <v>13621.117346938776</v>
      </c>
      <c r="H112" s="98">
        <v>1007.4336734693877</v>
      </c>
      <c r="I112" s="85"/>
      <c r="J112" s="87">
        <v>15126</v>
      </c>
      <c r="K112" s="87"/>
      <c r="L112" s="87"/>
      <c r="M112" s="87">
        <f t="shared" si="29"/>
        <v>15126</v>
      </c>
      <c r="O112" s="145">
        <f t="shared" si="33"/>
        <v>13621.117346938776</v>
      </c>
      <c r="P112" s="199">
        <f t="shared" si="34"/>
        <v>1504.8826530612246</v>
      </c>
      <c r="R112" s="139">
        <f t="shared" si="31"/>
        <v>497.44897959183686</v>
      </c>
      <c r="X112"/>
      <c r="Y112"/>
      <c r="Z112" s="12">
        <v>66412</v>
      </c>
      <c r="AA112" s="12" t="s">
        <v>387</v>
      </c>
      <c r="AB112" s="87">
        <v>15126</v>
      </c>
      <c r="AC112"/>
      <c r="AD112" s="144"/>
      <c r="AF112" s="87"/>
    </row>
    <row r="113" spans="1:32" ht="13.2" x14ac:dyDescent="0.25">
      <c r="A113" s="40">
        <v>66416</v>
      </c>
      <c r="B113" s="110" t="s">
        <v>161</v>
      </c>
      <c r="C113" s="87">
        <v>24354.240000000002</v>
      </c>
      <c r="D113" s="87"/>
      <c r="E113" s="87">
        <f t="shared" si="27"/>
        <v>24354.240000000002</v>
      </c>
      <c r="G113" s="16">
        <f t="shared" si="28"/>
        <v>21931.241632653062</v>
      </c>
      <c r="H113" s="98">
        <v>1089.1297193877551</v>
      </c>
      <c r="I113" s="85"/>
      <c r="J113" s="87">
        <v>24354.240000000002</v>
      </c>
      <c r="K113" s="87"/>
      <c r="L113" s="87"/>
      <c r="M113" s="87">
        <f t="shared" si="29"/>
        <v>24354.240000000002</v>
      </c>
      <c r="O113" s="145">
        <f t="shared" si="33"/>
        <v>21931.241632653062</v>
      </c>
      <c r="P113" s="199">
        <f t="shared" si="34"/>
        <v>2422.9983673469387</v>
      </c>
      <c r="R113" s="139">
        <f t="shared" si="31"/>
        <v>1333.8686479591836</v>
      </c>
      <c r="X113"/>
      <c r="Y113"/>
      <c r="Z113" s="12">
        <v>66416</v>
      </c>
      <c r="AA113" s="12" t="s">
        <v>388</v>
      </c>
      <c r="AB113" s="87">
        <v>24354.240000000002</v>
      </c>
      <c r="AC113"/>
      <c r="AD113" s="144"/>
      <c r="AF113" s="87"/>
    </row>
    <row r="114" spans="1:32" ht="13.2" x14ac:dyDescent="0.25">
      <c r="A114" s="40">
        <v>66465</v>
      </c>
      <c r="B114" s="110" t="s">
        <v>162</v>
      </c>
      <c r="C114" s="87">
        <v>420676.6</v>
      </c>
      <c r="D114" s="87"/>
      <c r="E114" s="87">
        <f t="shared" si="27"/>
        <v>420676.6</v>
      </c>
      <c r="G114" s="16">
        <f t="shared" si="28"/>
        <v>378823.5709183673</v>
      </c>
      <c r="H114" s="98">
        <v>31089.760331632653</v>
      </c>
      <c r="I114" s="85"/>
      <c r="J114" s="87">
        <v>420676.6</v>
      </c>
      <c r="K114" s="87"/>
      <c r="L114" s="87"/>
      <c r="M114" s="87">
        <f t="shared" si="29"/>
        <v>420676.6</v>
      </c>
      <c r="O114" s="145">
        <f t="shared" si="33"/>
        <v>378823.5709183673</v>
      </c>
      <c r="P114" s="199">
        <f t="shared" si="34"/>
        <v>41853.029081632652</v>
      </c>
      <c r="R114" s="139">
        <f t="shared" si="31"/>
        <v>10763.268749999999</v>
      </c>
      <c r="X114"/>
      <c r="Y114"/>
      <c r="Z114" s="12">
        <v>66465</v>
      </c>
      <c r="AA114" s="12" t="s">
        <v>389</v>
      </c>
      <c r="AB114" s="87">
        <v>420676.6</v>
      </c>
      <c r="AC114"/>
      <c r="AD114" s="144"/>
      <c r="AF114" s="87"/>
    </row>
    <row r="115" spans="1:32" ht="13.2" x14ac:dyDescent="0.25">
      <c r="A115" s="40">
        <v>66601</v>
      </c>
      <c r="B115" s="110" t="s">
        <v>163</v>
      </c>
      <c r="C115" s="87">
        <v>4797600</v>
      </c>
      <c r="D115" s="87"/>
      <c r="E115" s="87">
        <f t="shared" si="27"/>
        <v>4797600</v>
      </c>
      <c r="G115" s="16">
        <f t="shared" si="28"/>
        <v>4320287.7551020402</v>
      </c>
      <c r="H115" s="98">
        <v>357864.79591836734</v>
      </c>
      <c r="I115" s="85"/>
      <c r="J115" s="87">
        <v>4797600</v>
      </c>
      <c r="K115" s="87"/>
      <c r="L115" s="87"/>
      <c r="M115" s="87">
        <f t="shared" si="29"/>
        <v>4797600</v>
      </c>
      <c r="O115" s="145">
        <f t="shared" si="33"/>
        <v>4320287.7551020402</v>
      </c>
      <c r="P115" s="192">
        <f t="shared" si="34"/>
        <v>477312.24489795917</v>
      </c>
      <c r="R115" s="139">
        <f t="shared" si="31"/>
        <v>119447.44897959183</v>
      </c>
      <c r="X115"/>
      <c r="Y115"/>
      <c r="Z115" s="12">
        <v>66601</v>
      </c>
      <c r="AA115" s="12" t="s">
        <v>390</v>
      </c>
      <c r="AB115" s="87">
        <v>4797600</v>
      </c>
      <c r="AC115"/>
      <c r="AD115" s="144"/>
      <c r="AF115" s="87"/>
    </row>
    <row r="116" spans="1:32" ht="13.2" x14ac:dyDescent="0.25">
      <c r="A116" s="40">
        <v>66611</v>
      </c>
      <c r="B116" s="110" t="s">
        <v>164</v>
      </c>
      <c r="C116" s="87">
        <v>1314165.58</v>
      </c>
      <c r="D116" s="87"/>
      <c r="E116" s="87">
        <f t="shared" si="27"/>
        <v>1314165.58</v>
      </c>
      <c r="G116" s="16">
        <f t="shared" si="28"/>
        <v>1183419.5146428572</v>
      </c>
      <c r="H116" s="98">
        <v>97268.04451530613</v>
      </c>
      <c r="I116" s="85"/>
      <c r="J116" s="87">
        <v>1314165.58</v>
      </c>
      <c r="K116" s="87"/>
      <c r="L116" s="87"/>
      <c r="M116" s="87">
        <f t="shared" si="29"/>
        <v>1314165.58</v>
      </c>
      <c r="O116" s="145">
        <f t="shared" si="33"/>
        <v>1183419.5146428572</v>
      </c>
      <c r="P116" s="192">
        <f>+M116*$H$3</f>
        <v>130746.06535714287</v>
      </c>
      <c r="Q116" s="106" t="s">
        <v>444</v>
      </c>
      <c r="R116" s="139">
        <f t="shared" si="31"/>
        <v>33478.02084183674</v>
      </c>
      <c r="X116"/>
      <c r="Y116"/>
      <c r="Z116" s="12">
        <v>66611</v>
      </c>
      <c r="AA116" s="12" t="s">
        <v>164</v>
      </c>
      <c r="AB116" s="87">
        <v>1314165.58</v>
      </c>
      <c r="AC116"/>
      <c r="AD116" s="144"/>
      <c r="AF116" s="87"/>
    </row>
    <row r="117" spans="1:32" ht="13.2" x14ac:dyDescent="0.25">
      <c r="A117" s="40">
        <v>66621</v>
      </c>
      <c r="B117" s="110" t="s">
        <v>248</v>
      </c>
      <c r="C117" s="87">
        <v>590551</v>
      </c>
      <c r="D117" s="87"/>
      <c r="E117" s="87">
        <f t="shared" si="27"/>
        <v>590551</v>
      </c>
      <c r="G117" s="16"/>
      <c r="H117" s="98"/>
      <c r="I117" s="85"/>
      <c r="J117" s="223">
        <f>590551+150917</f>
        <v>741468</v>
      </c>
      <c r="K117" s="87"/>
      <c r="L117" s="87"/>
      <c r="M117" s="87">
        <f t="shared" si="29"/>
        <v>741468</v>
      </c>
      <c r="O117" s="16">
        <f>+M117</f>
        <v>741468</v>
      </c>
      <c r="P117" s="196"/>
      <c r="R117" s="139">
        <f t="shared" si="31"/>
        <v>0</v>
      </c>
      <c r="X117"/>
      <c r="Y117"/>
      <c r="Z117" s="12">
        <v>66621</v>
      </c>
      <c r="AA117" s="12" t="s">
        <v>248</v>
      </c>
      <c r="AB117" s="87">
        <v>590551</v>
      </c>
      <c r="AC117"/>
      <c r="AD117" s="144"/>
      <c r="AF117" s="87"/>
    </row>
    <row r="118" spans="1:32" ht="13.2" x14ac:dyDescent="0.25">
      <c r="A118" s="40">
        <v>66631</v>
      </c>
      <c r="B118" s="110" t="s">
        <v>165</v>
      </c>
      <c r="C118" s="87">
        <v>1998700.01</v>
      </c>
      <c r="D118" s="87"/>
      <c r="E118" s="87">
        <f t="shared" si="27"/>
        <v>1998700.01</v>
      </c>
      <c r="G118" s="16">
        <f t="shared" si="28"/>
        <v>1799849.7539030612</v>
      </c>
      <c r="H118" s="98">
        <v>139285.71528061223</v>
      </c>
      <c r="I118" s="85"/>
      <c r="J118" s="87">
        <v>1998700.01</v>
      </c>
      <c r="K118" s="87"/>
      <c r="L118" s="87"/>
      <c r="M118" s="87">
        <f t="shared" si="29"/>
        <v>1998700.01</v>
      </c>
      <c r="O118" s="145">
        <f t="shared" ref="O118:O126" si="35">+M118*$G$3+K118</f>
        <v>1799849.7539030612</v>
      </c>
      <c r="P118" s="192">
        <f t="shared" si="34"/>
        <v>198850.25609693877</v>
      </c>
      <c r="Q118" s="106" t="s">
        <v>444</v>
      </c>
      <c r="R118" s="139">
        <f t="shared" si="31"/>
        <v>59564.540816326538</v>
      </c>
      <c r="X118"/>
      <c r="Y118"/>
      <c r="Z118" s="12">
        <v>66631</v>
      </c>
      <c r="AA118" s="12" t="s">
        <v>165</v>
      </c>
      <c r="AB118" s="87">
        <v>1998700.01</v>
      </c>
      <c r="AC118"/>
      <c r="AD118" s="144"/>
      <c r="AF118" s="87"/>
    </row>
    <row r="119" spans="1:32" ht="13.2" x14ac:dyDescent="0.25">
      <c r="A119" s="40">
        <v>66651</v>
      </c>
      <c r="B119" s="110" t="s">
        <v>391</v>
      </c>
      <c r="C119" s="87">
        <v>433333.33</v>
      </c>
      <c r="D119" s="20"/>
      <c r="E119" s="87">
        <f t="shared" si="27"/>
        <v>433333.33</v>
      </c>
      <c r="F119" s="20"/>
      <c r="G119" s="16"/>
      <c r="H119" s="98"/>
      <c r="I119" s="74"/>
      <c r="J119" s="87">
        <v>433333.33</v>
      </c>
      <c r="K119" s="20"/>
      <c r="L119" s="20">
        <v>433333.33</v>
      </c>
      <c r="M119" s="87">
        <f t="shared" si="29"/>
        <v>0</v>
      </c>
      <c r="N119" s="20"/>
      <c r="O119" s="16"/>
      <c r="P119" s="192">
        <f>+M119*$H$3+L119</f>
        <v>433333.33</v>
      </c>
      <c r="R119" s="139">
        <f t="shared" si="31"/>
        <v>433333.33</v>
      </c>
      <c r="V119" s="13"/>
      <c r="X119" s="60"/>
      <c r="Y119"/>
      <c r="Z119" s="12">
        <v>66651</v>
      </c>
      <c r="AA119" s="12" t="s">
        <v>391</v>
      </c>
      <c r="AB119" s="87">
        <v>433333.33</v>
      </c>
      <c r="AC119"/>
      <c r="AD119" s="144"/>
      <c r="AF119" s="87"/>
    </row>
    <row r="120" spans="1:32" ht="13.2" x14ac:dyDescent="0.25">
      <c r="A120" s="40">
        <v>66701</v>
      </c>
      <c r="B120" s="110" t="s">
        <v>47</v>
      </c>
      <c r="C120" s="87">
        <v>350000</v>
      </c>
      <c r="D120" s="87"/>
      <c r="E120" s="87">
        <f t="shared" si="27"/>
        <v>350000</v>
      </c>
      <c r="G120" s="16">
        <f t="shared" si="28"/>
        <v>315178.57142857142</v>
      </c>
      <c r="H120" s="98">
        <v>29846.938775510203</v>
      </c>
      <c r="I120" s="85"/>
      <c r="J120" s="87">
        <v>350000</v>
      </c>
      <c r="K120" s="87"/>
      <c r="L120" s="87"/>
      <c r="M120" s="87">
        <f t="shared" si="29"/>
        <v>350000</v>
      </c>
      <c r="O120" s="145">
        <f t="shared" si="35"/>
        <v>315178.57142857142</v>
      </c>
      <c r="P120" s="196">
        <f t="shared" si="34"/>
        <v>34821.428571428572</v>
      </c>
      <c r="R120" s="139">
        <f t="shared" si="31"/>
        <v>4974.4897959183691</v>
      </c>
      <c r="X120"/>
      <c r="Y120"/>
      <c r="Z120" s="12">
        <v>66701</v>
      </c>
      <c r="AA120" s="12" t="s">
        <v>392</v>
      </c>
      <c r="AB120" s="87">
        <v>350000</v>
      </c>
      <c r="AC120"/>
      <c r="AD120" s="144"/>
      <c r="AF120" s="87"/>
    </row>
    <row r="121" spans="1:32" ht="13.2" x14ac:dyDescent="0.25">
      <c r="A121" s="40">
        <v>66703</v>
      </c>
      <c r="B121" s="110" t="s">
        <v>48</v>
      </c>
      <c r="C121" s="87">
        <v>-4875</v>
      </c>
      <c r="D121" s="87"/>
      <c r="E121" s="87">
        <f t="shared" si="27"/>
        <v>-4875</v>
      </c>
      <c r="G121" s="16">
        <f t="shared" si="28"/>
        <v>-4389.9872448979595</v>
      </c>
      <c r="H121" s="98">
        <v>-485.01275510204084</v>
      </c>
      <c r="I121" s="74"/>
      <c r="J121" s="87">
        <v>-4875</v>
      </c>
      <c r="K121" s="87"/>
      <c r="L121" s="87"/>
      <c r="M121" s="87">
        <f t="shared" si="29"/>
        <v>-4875</v>
      </c>
      <c r="O121" s="145">
        <f t="shared" si="35"/>
        <v>-4389.9872448979595</v>
      </c>
      <c r="P121" s="196">
        <f t="shared" si="34"/>
        <v>-485.01275510204084</v>
      </c>
      <c r="R121" s="139">
        <f t="shared" si="31"/>
        <v>0</v>
      </c>
      <c r="X121"/>
      <c r="Y121"/>
      <c r="Z121" s="12">
        <v>66703</v>
      </c>
      <c r="AA121" s="12" t="s">
        <v>393</v>
      </c>
      <c r="AB121" s="87">
        <v>-4875</v>
      </c>
      <c r="AC121"/>
      <c r="AD121" s="144"/>
      <c r="AF121" s="87"/>
    </row>
    <row r="122" spans="1:32" ht="13.2" x14ac:dyDescent="0.25">
      <c r="A122" s="40">
        <v>66705</v>
      </c>
      <c r="B122" s="110" t="s">
        <v>166</v>
      </c>
      <c r="C122" s="87">
        <v>1061523.6000000001</v>
      </c>
      <c r="D122" s="87"/>
      <c r="E122" s="87">
        <f t="shared" si="27"/>
        <v>1061523.6000000001</v>
      </c>
      <c r="G122" s="16">
        <f t="shared" si="28"/>
        <v>955912.83367346949</v>
      </c>
      <c r="H122" s="98">
        <v>417277.0085714286</v>
      </c>
      <c r="I122" s="85"/>
      <c r="J122" s="94">
        <f>1061523.6</f>
        <v>1061523.6000000001</v>
      </c>
      <c r="K122" s="87"/>
      <c r="L122" s="87">
        <v>47567</v>
      </c>
      <c r="M122" s="87">
        <f t="shared" si="29"/>
        <v>1013956.6000000001</v>
      </c>
      <c r="O122" s="145">
        <f t="shared" si="35"/>
        <v>913078.26479591837</v>
      </c>
      <c r="P122" s="193">
        <f>+M122*$H$3+L122</f>
        <v>148445.33520408164</v>
      </c>
      <c r="R122" s="139">
        <f t="shared" si="31"/>
        <v>-268831.67336734699</v>
      </c>
      <c r="X122"/>
      <c r="Y122"/>
      <c r="Z122" s="12">
        <v>66705</v>
      </c>
      <c r="AA122" s="12" t="s">
        <v>394</v>
      </c>
      <c r="AB122" s="87">
        <v>1061523.6000000001</v>
      </c>
      <c r="AC122"/>
      <c r="AD122" s="144"/>
      <c r="AF122" s="87"/>
    </row>
    <row r="123" spans="1:32" ht="13.2" x14ac:dyDescent="0.25">
      <c r="A123" s="40">
        <v>66910</v>
      </c>
      <c r="B123" s="110" t="s">
        <v>167</v>
      </c>
      <c r="C123" s="87">
        <v>401025.64</v>
      </c>
      <c r="D123" s="87"/>
      <c r="E123" s="87">
        <f t="shared" si="27"/>
        <v>401025.64</v>
      </c>
      <c r="G123" s="16">
        <f t="shared" si="28"/>
        <v>361127.68091836735</v>
      </c>
      <c r="H123" s="98">
        <v>42091.908061224494</v>
      </c>
      <c r="I123" s="74"/>
      <c r="J123" s="87">
        <v>401025.64</v>
      </c>
      <c r="K123" s="87"/>
      <c r="L123" s="87"/>
      <c r="M123" s="87">
        <f t="shared" si="29"/>
        <v>401025.64</v>
      </c>
      <c r="O123" s="145">
        <f t="shared" si="35"/>
        <v>361127.68091836735</v>
      </c>
      <c r="P123" s="193">
        <f t="shared" si="34"/>
        <v>39897.959081632653</v>
      </c>
      <c r="R123" s="139">
        <f t="shared" si="31"/>
        <v>-2193.9489795918416</v>
      </c>
      <c r="X123"/>
      <c r="Y123"/>
      <c r="Z123" s="12">
        <v>66910</v>
      </c>
      <c r="AA123" s="12" t="s">
        <v>395</v>
      </c>
      <c r="AB123" s="87">
        <v>401025.64</v>
      </c>
      <c r="AC123"/>
      <c r="AD123" s="144"/>
      <c r="AF123" s="87"/>
    </row>
    <row r="124" spans="1:32" ht="13.2" x14ac:dyDescent="0.25">
      <c r="A124" s="40">
        <v>66911</v>
      </c>
      <c r="B124" s="110" t="s">
        <v>168</v>
      </c>
      <c r="C124" s="87">
        <v>537480.38</v>
      </c>
      <c r="D124" s="87"/>
      <c r="E124" s="87">
        <f t="shared" si="27"/>
        <v>537480.38</v>
      </c>
      <c r="G124" s="16">
        <f t="shared" si="28"/>
        <v>484006.56668367347</v>
      </c>
      <c r="H124" s="98">
        <v>31641.302908163263</v>
      </c>
      <c r="I124" s="74"/>
      <c r="J124" s="87">
        <v>537480.38</v>
      </c>
      <c r="K124" s="87"/>
      <c r="L124" s="87"/>
      <c r="M124" s="87">
        <f t="shared" si="29"/>
        <v>537480.38</v>
      </c>
      <c r="O124" s="145">
        <f t="shared" si="35"/>
        <v>484006.56668367347</v>
      </c>
      <c r="P124" s="199">
        <f t="shared" si="34"/>
        <v>53473.81331632653</v>
      </c>
      <c r="R124" s="139">
        <f t="shared" si="31"/>
        <v>21832.510408163267</v>
      </c>
      <c r="X124"/>
      <c r="Y124"/>
      <c r="Z124" s="12">
        <v>66911</v>
      </c>
      <c r="AA124" s="12" t="s">
        <v>396</v>
      </c>
      <c r="AB124" s="87">
        <v>537480.38</v>
      </c>
      <c r="AC124"/>
      <c r="AD124" s="144"/>
      <c r="AF124" s="87"/>
    </row>
    <row r="125" spans="1:32" ht="13.2" x14ac:dyDescent="0.25">
      <c r="A125" s="40">
        <v>66914</v>
      </c>
      <c r="B125" s="110" t="s">
        <v>169</v>
      </c>
      <c r="C125" s="87">
        <v>421225</v>
      </c>
      <c r="D125" s="87"/>
      <c r="E125" s="87">
        <f t="shared" si="27"/>
        <v>421225</v>
      </c>
      <c r="G125" s="16">
        <f t="shared" si="28"/>
        <v>379317.41071428568</v>
      </c>
      <c r="H125" s="98">
        <v>40464.987244897959</v>
      </c>
      <c r="I125" s="74"/>
      <c r="J125" s="87">
        <v>421225</v>
      </c>
      <c r="K125" s="87"/>
      <c r="L125" s="87"/>
      <c r="M125" s="87">
        <f t="shared" si="29"/>
        <v>421225</v>
      </c>
      <c r="O125" s="145">
        <f t="shared" si="35"/>
        <v>379317.41071428568</v>
      </c>
      <c r="P125" s="199">
        <f t="shared" si="34"/>
        <v>41907.589285714283</v>
      </c>
      <c r="R125" s="139">
        <f t="shared" si="31"/>
        <v>1442.602040816324</v>
      </c>
      <c r="X125"/>
      <c r="Y125"/>
      <c r="Z125" s="12">
        <v>66914</v>
      </c>
      <c r="AA125" s="12" t="s">
        <v>397</v>
      </c>
      <c r="AB125" s="87">
        <v>421225</v>
      </c>
      <c r="AC125"/>
      <c r="AD125" s="144"/>
      <c r="AF125" s="87"/>
    </row>
    <row r="126" spans="1:32" ht="13.2" x14ac:dyDescent="0.25">
      <c r="A126" s="40">
        <v>66915</v>
      </c>
      <c r="B126" s="111" t="s">
        <v>170</v>
      </c>
      <c r="C126" s="87">
        <v>1588766.42</v>
      </c>
      <c r="D126" s="87"/>
      <c r="E126" s="87">
        <f t="shared" si="27"/>
        <v>1588766.42</v>
      </c>
      <c r="F126" s="20"/>
      <c r="G126" s="16">
        <f t="shared" si="28"/>
        <v>1430700.3731122448</v>
      </c>
      <c r="H126" s="98">
        <v>953273.63436224486</v>
      </c>
      <c r="I126" s="74"/>
      <c r="J126" s="223">
        <f>1588766.42-150917</f>
        <v>1437849.42</v>
      </c>
      <c r="K126" s="87"/>
      <c r="L126" s="87">
        <f>1468537</f>
        <v>1468537</v>
      </c>
      <c r="M126" s="87">
        <f t="shared" si="29"/>
        <v>-30687.580000000075</v>
      </c>
      <c r="N126" s="20"/>
      <c r="O126" s="145">
        <f t="shared" si="35"/>
        <v>-27634.478928571494</v>
      </c>
      <c r="P126" s="192">
        <f>+M126*$H$3+L126</f>
        <v>1465483.8989285715</v>
      </c>
      <c r="R126" s="139">
        <f t="shared" si="31"/>
        <v>512210.26456632663</v>
      </c>
      <c r="X126"/>
      <c r="Y126"/>
      <c r="Z126" s="12">
        <v>66915</v>
      </c>
      <c r="AA126" s="12" t="s">
        <v>170</v>
      </c>
      <c r="AB126" s="87">
        <v>1588766.42</v>
      </c>
      <c r="AC126"/>
      <c r="AD126" s="144"/>
      <c r="AF126" s="87"/>
    </row>
    <row r="127" spans="1:32" ht="13.2" x14ac:dyDescent="0.25">
      <c r="A127" s="40">
        <v>66916</v>
      </c>
      <c r="B127" s="111" t="s">
        <v>249</v>
      </c>
      <c r="C127" s="87">
        <v>-13974</v>
      </c>
      <c r="D127" s="87"/>
      <c r="E127" s="87">
        <f t="shared" si="27"/>
        <v>-13974</v>
      </c>
      <c r="F127" s="20"/>
      <c r="G127" s="16"/>
      <c r="H127" s="98"/>
      <c r="I127" s="74"/>
      <c r="J127" s="87">
        <v>-13974</v>
      </c>
      <c r="K127" s="87"/>
      <c r="L127" s="87"/>
      <c r="M127" s="87">
        <f t="shared" si="29"/>
        <v>-13974</v>
      </c>
      <c r="N127" s="20"/>
      <c r="O127" s="16">
        <f>+M127</f>
        <v>-13974</v>
      </c>
      <c r="P127" s="196"/>
      <c r="R127" s="139">
        <f t="shared" si="31"/>
        <v>0</v>
      </c>
      <c r="X127"/>
      <c r="Y127"/>
      <c r="Z127" s="12">
        <v>66916</v>
      </c>
      <c r="AA127" s="12" t="s">
        <v>249</v>
      </c>
      <c r="AB127" s="87">
        <v>-13974</v>
      </c>
      <c r="AC127"/>
      <c r="AD127" s="144"/>
      <c r="AF127" s="87"/>
    </row>
    <row r="128" spans="1:32" ht="13.2" x14ac:dyDescent="0.25">
      <c r="A128" s="40">
        <v>67101</v>
      </c>
      <c r="B128" s="110" t="s">
        <v>171</v>
      </c>
      <c r="C128" s="87">
        <v>250245.35</v>
      </c>
      <c r="D128" s="87"/>
      <c r="E128" s="87">
        <f t="shared" si="27"/>
        <v>250245.35</v>
      </c>
      <c r="G128" s="16">
        <f t="shared" si="28"/>
        <v>225348.49119897958</v>
      </c>
      <c r="H128" s="98">
        <v>14141.870586734693</v>
      </c>
      <c r="I128" s="74"/>
      <c r="J128" s="87">
        <v>250245.35</v>
      </c>
      <c r="K128" s="87"/>
      <c r="L128" s="87"/>
      <c r="M128" s="87">
        <f t="shared" si="29"/>
        <v>250245.35</v>
      </c>
      <c r="O128" s="145">
        <f t="shared" ref="O128:O134" si="36">+M128*$G$3+K128</f>
        <v>225348.49119897958</v>
      </c>
      <c r="P128" s="196">
        <f t="shared" si="34"/>
        <v>24896.858801020408</v>
      </c>
      <c r="R128" s="139">
        <f t="shared" si="31"/>
        <v>10754.988214285715</v>
      </c>
      <c r="X128"/>
      <c r="Y128"/>
      <c r="Z128" s="12">
        <v>67101</v>
      </c>
      <c r="AA128" s="12" t="s">
        <v>398</v>
      </c>
      <c r="AB128" s="87">
        <v>250245.35</v>
      </c>
      <c r="AC128"/>
      <c r="AD128" s="144"/>
      <c r="AF128" s="87"/>
    </row>
    <row r="129" spans="1:32" ht="13.2" x14ac:dyDescent="0.25">
      <c r="A129" s="40">
        <v>67201</v>
      </c>
      <c r="B129" s="110" t="s">
        <v>172</v>
      </c>
      <c r="C129" s="87">
        <v>110566.38</v>
      </c>
      <c r="D129" s="87"/>
      <c r="E129" s="87">
        <f t="shared" si="27"/>
        <v>110566.38</v>
      </c>
      <c r="G129" s="16">
        <f t="shared" si="28"/>
        <v>99566.15341836735</v>
      </c>
      <c r="H129" s="98">
        <v>8695.9434183673475</v>
      </c>
      <c r="I129" s="74"/>
      <c r="J129" s="87">
        <v>110566.38</v>
      </c>
      <c r="K129" s="87"/>
      <c r="L129" s="87"/>
      <c r="M129" s="87">
        <f t="shared" si="29"/>
        <v>110566.38</v>
      </c>
      <c r="O129" s="145">
        <f t="shared" si="36"/>
        <v>99566.15341836735</v>
      </c>
      <c r="P129" s="196">
        <f t="shared" si="34"/>
        <v>11000.226581632653</v>
      </c>
      <c r="R129" s="139">
        <f t="shared" si="31"/>
        <v>2304.2831632653051</v>
      </c>
      <c r="X129"/>
      <c r="Y129"/>
      <c r="Z129" s="12">
        <v>67201</v>
      </c>
      <c r="AA129" s="12" t="s">
        <v>172</v>
      </c>
      <c r="AB129" s="87">
        <v>110566.38</v>
      </c>
      <c r="AC129"/>
      <c r="AD129" s="144"/>
      <c r="AF129" s="87"/>
    </row>
    <row r="130" spans="1:32" ht="13.2" x14ac:dyDescent="0.25">
      <c r="A130" s="40">
        <v>67203</v>
      </c>
      <c r="B130" s="110" t="s">
        <v>173</v>
      </c>
      <c r="C130" s="87">
        <v>2479</v>
      </c>
      <c r="D130" s="87"/>
      <c r="E130" s="87">
        <f t="shared" si="27"/>
        <v>2479</v>
      </c>
      <c r="G130" s="16">
        <f t="shared" si="28"/>
        <v>2232.3647959183672</v>
      </c>
      <c r="H130" s="98">
        <v>246.63520408163265</v>
      </c>
      <c r="I130" s="74"/>
      <c r="J130" s="87">
        <v>2479</v>
      </c>
      <c r="K130" s="87"/>
      <c r="L130" s="87"/>
      <c r="M130" s="87">
        <f t="shared" si="29"/>
        <v>2479</v>
      </c>
      <c r="O130" s="145">
        <f t="shared" si="36"/>
        <v>2232.3647959183672</v>
      </c>
      <c r="P130" s="196">
        <f t="shared" si="34"/>
        <v>246.63520408163265</v>
      </c>
      <c r="R130" s="139">
        <f t="shared" si="31"/>
        <v>0</v>
      </c>
      <c r="X130"/>
      <c r="Y130"/>
      <c r="Z130" s="12">
        <v>67203</v>
      </c>
      <c r="AA130" s="12" t="s">
        <v>399</v>
      </c>
      <c r="AB130" s="87">
        <v>2479</v>
      </c>
      <c r="AC130"/>
      <c r="AD130" s="144"/>
      <c r="AF130" s="87"/>
    </row>
    <row r="131" spans="1:32" ht="13.2" x14ac:dyDescent="0.25">
      <c r="A131" s="40">
        <v>67205</v>
      </c>
      <c r="B131" s="110" t="s">
        <v>174</v>
      </c>
      <c r="C131" s="87">
        <v>24419.3</v>
      </c>
      <c r="D131" s="87"/>
      <c r="E131" s="87">
        <f t="shared" si="27"/>
        <v>24419.3</v>
      </c>
      <c r="G131" s="16">
        <f t="shared" si="28"/>
        <v>21989.828826530611</v>
      </c>
      <c r="H131" s="98">
        <v>988.59528061224489</v>
      </c>
      <c r="I131" s="74"/>
      <c r="J131" s="87">
        <v>24419.3</v>
      </c>
      <c r="K131" s="87"/>
      <c r="L131" s="87"/>
      <c r="M131" s="87">
        <f t="shared" si="29"/>
        <v>24419.3</v>
      </c>
      <c r="O131" s="145">
        <f t="shared" si="36"/>
        <v>21989.828826530611</v>
      </c>
      <c r="P131" s="196">
        <f t="shared" si="34"/>
        <v>2429.4711734693878</v>
      </c>
      <c r="R131" s="139">
        <f t="shared" si="31"/>
        <v>1440.8758928571428</v>
      </c>
      <c r="X131"/>
      <c r="Y131"/>
      <c r="Z131" s="12">
        <v>67205</v>
      </c>
      <c r="AA131" s="12" t="s">
        <v>174</v>
      </c>
      <c r="AB131" s="87">
        <v>24419.3</v>
      </c>
      <c r="AC131"/>
      <c r="AD131" s="144"/>
      <c r="AF131" s="87"/>
    </row>
    <row r="132" spans="1:32" ht="13.2" x14ac:dyDescent="0.25">
      <c r="A132" s="40">
        <v>67206</v>
      </c>
      <c r="B132" s="110" t="s">
        <v>175</v>
      </c>
      <c r="C132" s="87">
        <v>121921.22</v>
      </c>
      <c r="D132" s="87"/>
      <c r="E132" s="87">
        <f t="shared" si="27"/>
        <v>121921.22</v>
      </c>
      <c r="G132" s="16">
        <f t="shared" si="28"/>
        <v>109791.30270408162</v>
      </c>
      <c r="H132" s="98">
        <v>11085.331147959183</v>
      </c>
      <c r="I132" s="74"/>
      <c r="J132" s="87">
        <v>121921.22</v>
      </c>
      <c r="K132" s="87"/>
      <c r="L132" s="87"/>
      <c r="M132" s="87">
        <f t="shared" si="29"/>
        <v>121921.22</v>
      </c>
      <c r="O132" s="145">
        <f t="shared" si="36"/>
        <v>109791.30270408162</v>
      </c>
      <c r="P132" s="196">
        <f t="shared" si="34"/>
        <v>12129.917295918367</v>
      </c>
      <c r="R132" s="139">
        <f t="shared" si="31"/>
        <v>1044.586147959184</v>
      </c>
      <c r="X132"/>
      <c r="Y132"/>
      <c r="Z132" s="12">
        <v>67206</v>
      </c>
      <c r="AA132" s="12" t="s">
        <v>400</v>
      </c>
      <c r="AB132" s="87">
        <v>121921.22</v>
      </c>
      <c r="AC132"/>
      <c r="AD132" s="144"/>
      <c r="AF132" s="87"/>
    </row>
    <row r="133" spans="1:32" ht="13.2" x14ac:dyDescent="0.25">
      <c r="A133" s="40">
        <v>67911</v>
      </c>
      <c r="B133" s="110" t="s">
        <v>177</v>
      </c>
      <c r="C133" s="87">
        <v>21953</v>
      </c>
      <c r="D133" s="87"/>
      <c r="E133" s="87">
        <f t="shared" si="27"/>
        <v>21953</v>
      </c>
      <c r="G133" s="16">
        <f>+E133*$G$3</f>
        <v>19768.900510204083</v>
      </c>
      <c r="H133" s="98">
        <v>2175.1454081632651</v>
      </c>
      <c r="I133" s="85"/>
      <c r="J133" s="87">
        <v>21953</v>
      </c>
      <c r="K133" s="87"/>
      <c r="L133" s="87"/>
      <c r="M133" s="87">
        <f t="shared" si="29"/>
        <v>21953</v>
      </c>
      <c r="O133" s="145">
        <f t="shared" si="36"/>
        <v>19768.900510204083</v>
      </c>
      <c r="P133" s="196">
        <f t="shared" si="34"/>
        <v>2184.0994897959185</v>
      </c>
      <c r="R133" s="139">
        <f t="shared" si="31"/>
        <v>8.9540816326534696</v>
      </c>
      <c r="X133"/>
      <c r="Y133"/>
      <c r="Z133" s="12">
        <v>67911</v>
      </c>
      <c r="AA133" s="12" t="s">
        <v>401</v>
      </c>
      <c r="AB133" s="87">
        <v>21953</v>
      </c>
      <c r="AC133"/>
      <c r="AD133" s="144"/>
      <c r="AF133" s="87"/>
    </row>
    <row r="134" spans="1:32" ht="13.2" x14ac:dyDescent="0.25">
      <c r="A134" s="40">
        <v>67912</v>
      </c>
      <c r="B134" s="110" t="s">
        <v>176</v>
      </c>
      <c r="C134" s="87">
        <v>36504.5</v>
      </c>
      <c r="D134" s="87"/>
      <c r="E134" s="87">
        <f t="shared" si="27"/>
        <v>36504.5</v>
      </c>
      <c r="G134" s="16">
        <f>+E134*$G$3</f>
        <v>32872.674744897959</v>
      </c>
      <c r="H134" s="98">
        <v>2602.7028061224491</v>
      </c>
      <c r="I134" s="85"/>
      <c r="J134" s="87">
        <v>36504.5</v>
      </c>
      <c r="K134" s="87"/>
      <c r="L134" s="87"/>
      <c r="M134" s="87">
        <f t="shared" si="29"/>
        <v>36504.5</v>
      </c>
      <c r="O134" s="145">
        <f t="shared" si="36"/>
        <v>32872.674744897959</v>
      </c>
      <c r="P134" s="196">
        <f t="shared" si="34"/>
        <v>3631.825255102041</v>
      </c>
      <c r="R134" s="139">
        <f t="shared" si="31"/>
        <v>1029.1224489795918</v>
      </c>
      <c r="X134"/>
      <c r="Y134"/>
      <c r="Z134" s="12">
        <v>67912</v>
      </c>
      <c r="AA134" s="12" t="s">
        <v>402</v>
      </c>
      <c r="AB134" s="87">
        <v>36504.5</v>
      </c>
      <c r="AC134"/>
      <c r="AD134" s="144"/>
      <c r="AF134" s="87"/>
    </row>
    <row r="135" spans="1:32" ht="13.2" x14ac:dyDescent="0.25">
      <c r="A135" s="40">
        <v>67941</v>
      </c>
      <c r="B135" s="110" t="s">
        <v>250</v>
      </c>
      <c r="C135" s="87">
        <v>20762.669999999998</v>
      </c>
      <c r="D135" s="87"/>
      <c r="E135" s="87">
        <f t="shared" si="27"/>
        <v>20762.669999999998</v>
      </c>
      <c r="G135" s="16"/>
      <c r="H135" s="98"/>
      <c r="I135" s="85"/>
      <c r="J135" s="87">
        <v>20762.669999999998</v>
      </c>
      <c r="K135" s="87"/>
      <c r="L135" s="87"/>
      <c r="M135" s="87">
        <f t="shared" si="29"/>
        <v>20762.669999999998</v>
      </c>
      <c r="O135" s="16">
        <f>+M135</f>
        <v>20762.669999999998</v>
      </c>
      <c r="P135" s="196"/>
      <c r="R135" s="139">
        <f t="shared" si="31"/>
        <v>0</v>
      </c>
      <c r="X135"/>
      <c r="Y135"/>
      <c r="Z135" s="12">
        <v>67941</v>
      </c>
      <c r="AA135" s="12" t="s">
        <v>250</v>
      </c>
      <c r="AB135" s="87">
        <v>20762.669999999998</v>
      </c>
      <c r="AC135"/>
      <c r="AD135" s="144"/>
      <c r="AF135" s="87"/>
    </row>
    <row r="136" spans="1:32" ht="13.2" x14ac:dyDescent="0.25">
      <c r="A136" s="40">
        <v>67999</v>
      </c>
      <c r="B136" s="110" t="s">
        <v>178</v>
      </c>
      <c r="C136" s="87">
        <v>69142.990000000005</v>
      </c>
      <c r="D136" s="87"/>
      <c r="E136" s="87">
        <f t="shared" si="27"/>
        <v>69142.990000000005</v>
      </c>
      <c r="G136" s="16">
        <f t="shared" si="28"/>
        <v>62263.968035714286</v>
      </c>
      <c r="H136" s="98">
        <v>5726.7699489795914</v>
      </c>
      <c r="I136" s="85"/>
      <c r="J136" s="87">
        <v>69142.990000000005</v>
      </c>
      <c r="K136" s="87"/>
      <c r="L136" s="87"/>
      <c r="M136" s="87">
        <f t="shared" si="29"/>
        <v>69142.990000000005</v>
      </c>
      <c r="O136" s="145">
        <f>+M136*$G$3+K136</f>
        <v>62263.968035714286</v>
      </c>
      <c r="P136" s="196">
        <f t="shared" si="34"/>
        <v>6879.0219642857146</v>
      </c>
      <c r="R136" s="139">
        <f t="shared" si="31"/>
        <v>1152.2520153061232</v>
      </c>
      <c r="X136"/>
      <c r="Y136"/>
      <c r="Z136" s="12">
        <v>67999</v>
      </c>
      <c r="AA136" s="12" t="s">
        <v>403</v>
      </c>
      <c r="AB136" s="87">
        <v>69142.990000000005</v>
      </c>
      <c r="AC136"/>
      <c r="AD136" s="144"/>
      <c r="AF136" s="87"/>
    </row>
    <row r="137" spans="1:32" ht="13.2" x14ac:dyDescent="0.25">
      <c r="A137" s="40">
        <v>68101</v>
      </c>
      <c r="B137" s="110" t="s">
        <v>251</v>
      </c>
      <c r="C137" s="87">
        <v>1601.93</v>
      </c>
      <c r="D137" s="87"/>
      <c r="E137" s="87">
        <f t="shared" si="27"/>
        <v>1601.93</v>
      </c>
      <c r="G137" s="16"/>
      <c r="H137" s="98"/>
      <c r="I137" s="85"/>
      <c r="J137" s="87">
        <v>1601.93</v>
      </c>
      <c r="K137" s="87"/>
      <c r="L137" s="87"/>
      <c r="M137" s="87">
        <f t="shared" si="29"/>
        <v>1601.93</v>
      </c>
      <c r="O137" s="16">
        <f>+M137</f>
        <v>1601.93</v>
      </c>
      <c r="P137" s="194"/>
      <c r="R137" s="139">
        <f t="shared" si="31"/>
        <v>0</v>
      </c>
      <c r="X137"/>
      <c r="Y137"/>
      <c r="Z137" s="12">
        <v>68101</v>
      </c>
      <c r="AA137" s="12" t="s">
        <v>251</v>
      </c>
      <c r="AB137" s="87">
        <v>1601.93</v>
      </c>
      <c r="AC137"/>
      <c r="AD137" s="144"/>
      <c r="AF137" s="87"/>
    </row>
    <row r="138" spans="1:32" ht="13.2" x14ac:dyDescent="0.25">
      <c r="A138" s="40">
        <v>68103</v>
      </c>
      <c r="B138" s="110" t="s">
        <v>179</v>
      </c>
      <c r="C138" s="87">
        <v>23604.98</v>
      </c>
      <c r="D138" s="87"/>
      <c r="E138" s="87">
        <f t="shared" si="27"/>
        <v>23604.98</v>
      </c>
      <c r="G138" s="16">
        <f t="shared" si="28"/>
        <v>21256.525357142855</v>
      </c>
      <c r="H138" s="98">
        <v>2234.0194897959182</v>
      </c>
      <c r="I138" s="85"/>
      <c r="J138" s="87">
        <v>23604.98</v>
      </c>
      <c r="K138" s="87"/>
      <c r="L138" s="87"/>
      <c r="M138" s="87">
        <f t="shared" si="29"/>
        <v>23604.98</v>
      </c>
      <c r="O138" s="145">
        <f>+M138*$G$3+K138</f>
        <v>21256.525357142855</v>
      </c>
      <c r="P138" s="194">
        <f t="shared" si="34"/>
        <v>2348.454642857143</v>
      </c>
      <c r="R138" s="139">
        <f t="shared" si="31"/>
        <v>114.43515306122481</v>
      </c>
      <c r="X138"/>
      <c r="Y138"/>
      <c r="Z138" s="12">
        <v>68103</v>
      </c>
      <c r="AA138" s="12" t="s">
        <v>179</v>
      </c>
      <c r="AB138" s="87">
        <v>23604.98</v>
      </c>
      <c r="AC138"/>
      <c r="AD138" s="144"/>
      <c r="AF138" s="87"/>
    </row>
    <row r="139" spans="1:32" ht="13.2" x14ac:dyDescent="0.25">
      <c r="A139" s="40">
        <v>68104</v>
      </c>
      <c r="B139" s="110" t="s">
        <v>180</v>
      </c>
      <c r="C139" s="87">
        <v>128005.67</v>
      </c>
      <c r="D139" s="87"/>
      <c r="E139" s="87">
        <f t="shared" si="27"/>
        <v>128005.67</v>
      </c>
      <c r="G139" s="16">
        <f t="shared" si="28"/>
        <v>115270.41201530612</v>
      </c>
      <c r="H139" s="98">
        <v>2899.3007908163263</v>
      </c>
      <c r="I139" s="85"/>
      <c r="J139" s="87">
        <v>128005.67</v>
      </c>
      <c r="K139" s="87"/>
      <c r="L139" s="87"/>
      <c r="M139" s="87">
        <f t="shared" si="29"/>
        <v>128005.67</v>
      </c>
      <c r="O139" s="145">
        <f>+M139*$G$3+K139</f>
        <v>115270.41201530612</v>
      </c>
      <c r="P139" s="194">
        <f t="shared" si="34"/>
        <v>12735.257984693877</v>
      </c>
      <c r="R139" s="139">
        <f t="shared" si="31"/>
        <v>9835.9571938775516</v>
      </c>
      <c r="X139"/>
      <c r="Y139"/>
      <c r="Z139" s="12">
        <v>68104</v>
      </c>
      <c r="AA139" s="12" t="s">
        <v>404</v>
      </c>
      <c r="AB139" s="87">
        <v>128005.67</v>
      </c>
      <c r="AC139"/>
      <c r="AD139" s="144"/>
      <c r="AF139" s="87"/>
    </row>
    <row r="140" spans="1:32" ht="13.2" x14ac:dyDescent="0.25">
      <c r="A140" s="40">
        <v>68109</v>
      </c>
      <c r="B140" s="110" t="s">
        <v>181</v>
      </c>
      <c r="C140" s="87">
        <v>262557.67</v>
      </c>
      <c r="D140" s="87"/>
      <c r="E140" s="87">
        <f t="shared" si="27"/>
        <v>262557.67</v>
      </c>
      <c r="G140" s="16">
        <f t="shared" si="28"/>
        <v>236435.86099489793</v>
      </c>
      <c r="H140" s="98">
        <v>20832.195229591835</v>
      </c>
      <c r="I140" s="85"/>
      <c r="J140" s="87">
        <v>262557.67</v>
      </c>
      <c r="K140" s="87"/>
      <c r="L140" s="87"/>
      <c r="M140" s="87">
        <f t="shared" si="29"/>
        <v>262557.67</v>
      </c>
      <c r="O140" s="145">
        <f>+M140*$G$3+K140</f>
        <v>236435.86099489793</v>
      </c>
      <c r="P140" s="194">
        <f t="shared" si="34"/>
        <v>26121.809005102041</v>
      </c>
      <c r="R140" s="139">
        <f t="shared" si="31"/>
        <v>5289.6137755102063</v>
      </c>
      <c r="X140"/>
      <c r="Y140"/>
      <c r="Z140" s="12">
        <v>68109</v>
      </c>
      <c r="AA140" s="12" t="s">
        <v>405</v>
      </c>
      <c r="AB140" s="87">
        <v>262557.67</v>
      </c>
      <c r="AC140"/>
      <c r="AD140" s="144"/>
      <c r="AF140" s="87"/>
    </row>
    <row r="141" spans="1:32" ht="13.2" x14ac:dyDescent="0.25">
      <c r="A141" s="40">
        <v>68111</v>
      </c>
      <c r="B141" s="110" t="s">
        <v>182</v>
      </c>
      <c r="C141" s="87">
        <v>-15000</v>
      </c>
      <c r="D141" s="87"/>
      <c r="E141" s="87">
        <f t="shared" si="27"/>
        <v>-15000</v>
      </c>
      <c r="G141" s="16">
        <f t="shared" si="28"/>
        <v>-13507.65306122449</v>
      </c>
      <c r="H141" s="98">
        <v>-1492.3469387755101</v>
      </c>
      <c r="I141" s="85"/>
      <c r="J141" s="87">
        <v>-15000</v>
      </c>
      <c r="K141" s="87"/>
      <c r="L141" s="87"/>
      <c r="M141" s="87">
        <f t="shared" si="29"/>
        <v>-15000</v>
      </c>
      <c r="O141" s="145">
        <f>+M141*$G$3+K141</f>
        <v>-13507.65306122449</v>
      </c>
      <c r="P141" s="194">
        <f t="shared" si="34"/>
        <v>-1492.3469387755101</v>
      </c>
      <c r="R141" s="139">
        <f t="shared" si="31"/>
        <v>0</v>
      </c>
      <c r="X141"/>
      <c r="Y141"/>
      <c r="Z141" s="12">
        <v>68111</v>
      </c>
      <c r="AA141" s="12" t="s">
        <v>406</v>
      </c>
      <c r="AB141" s="87">
        <v>-15000</v>
      </c>
      <c r="AC141"/>
      <c r="AD141" s="144"/>
      <c r="AF141" s="87"/>
    </row>
    <row r="142" spans="1:32" ht="13.2" x14ac:dyDescent="0.25">
      <c r="A142" s="40">
        <v>68116</v>
      </c>
      <c r="B142" s="110" t="s">
        <v>252</v>
      </c>
      <c r="C142" s="87">
        <v>94948.07</v>
      </c>
      <c r="D142" s="87"/>
      <c r="E142" s="87">
        <f t="shared" si="27"/>
        <v>94948.07</v>
      </c>
      <c r="G142" s="16"/>
      <c r="H142" s="98"/>
      <c r="I142" s="85"/>
      <c r="J142" s="87">
        <v>94948.07</v>
      </c>
      <c r="K142" s="87"/>
      <c r="L142" s="87"/>
      <c r="M142" s="87">
        <f t="shared" si="29"/>
        <v>94948.07</v>
      </c>
      <c r="O142" s="16">
        <f>+M142</f>
        <v>94948.07</v>
      </c>
      <c r="P142" s="194"/>
      <c r="R142" s="139">
        <f t="shared" si="31"/>
        <v>0</v>
      </c>
      <c r="X142"/>
      <c r="Y142"/>
      <c r="Z142" s="12">
        <v>68116</v>
      </c>
      <c r="AA142" s="12" t="s">
        <v>252</v>
      </c>
      <c r="AB142" s="87">
        <v>94948.07</v>
      </c>
      <c r="AC142"/>
      <c r="AD142" s="144"/>
      <c r="AF142" s="87"/>
    </row>
    <row r="143" spans="1:32" ht="13.2" x14ac:dyDescent="0.25">
      <c r="A143" s="91">
        <v>68126</v>
      </c>
      <c r="B143" s="110" t="s">
        <v>183</v>
      </c>
      <c r="C143" s="87">
        <v>206665.22</v>
      </c>
      <c r="D143" s="87"/>
      <c r="E143" s="87">
        <f t="shared" si="27"/>
        <v>206665.22</v>
      </c>
      <c r="G143" s="16">
        <f t="shared" si="28"/>
        <v>186104.13943877551</v>
      </c>
      <c r="H143" s="98">
        <v>15437.3918877551</v>
      </c>
      <c r="I143" s="85"/>
      <c r="J143" s="87">
        <v>206665.22</v>
      </c>
      <c r="K143" s="87"/>
      <c r="L143" s="87"/>
      <c r="M143" s="87">
        <f t="shared" si="29"/>
        <v>206665.22</v>
      </c>
      <c r="O143" s="145">
        <f>+M143*$G$3+K143</f>
        <v>186104.13943877551</v>
      </c>
      <c r="P143" s="194">
        <f t="shared" si="34"/>
        <v>20561.080561224491</v>
      </c>
      <c r="R143" s="139">
        <f t="shared" si="31"/>
        <v>5123.6886734693908</v>
      </c>
      <c r="X143"/>
      <c r="Y143"/>
      <c r="Z143" s="12">
        <v>68126</v>
      </c>
      <c r="AA143" s="12" t="s">
        <v>407</v>
      </c>
      <c r="AB143" s="87">
        <v>206665.22</v>
      </c>
      <c r="AC143"/>
      <c r="AD143" s="144"/>
      <c r="AF143" s="87"/>
    </row>
    <row r="144" spans="1:32" ht="13.2" x14ac:dyDescent="0.25">
      <c r="A144" s="40">
        <v>68127</v>
      </c>
      <c r="B144" s="110" t="s">
        <v>184</v>
      </c>
      <c r="C144" s="87">
        <v>-206665.22</v>
      </c>
      <c r="D144" s="87"/>
      <c r="E144" s="87">
        <f t="shared" si="27"/>
        <v>-206665.22</v>
      </c>
      <c r="G144" s="16">
        <f t="shared" si="28"/>
        <v>-186104.13943877551</v>
      </c>
      <c r="H144" s="98">
        <v>-15437.3918877551</v>
      </c>
      <c r="I144" s="85"/>
      <c r="J144" s="87">
        <v>-206665.22</v>
      </c>
      <c r="K144" s="87"/>
      <c r="L144" s="87"/>
      <c r="M144" s="87">
        <f t="shared" si="29"/>
        <v>-206665.22</v>
      </c>
      <c r="O144" s="145">
        <f>+M144*$G$3+K144</f>
        <v>-186104.13943877551</v>
      </c>
      <c r="P144" s="194">
        <f t="shared" si="34"/>
        <v>-20561.080561224491</v>
      </c>
      <c r="R144" s="139">
        <f t="shared" si="31"/>
        <v>-5123.6886734693908</v>
      </c>
      <c r="X144"/>
      <c r="Y144"/>
      <c r="Z144" s="12">
        <v>68127</v>
      </c>
      <c r="AA144" s="12" t="s">
        <v>408</v>
      </c>
      <c r="AB144" s="87">
        <v>-206665.22</v>
      </c>
      <c r="AC144"/>
      <c r="AD144" s="144"/>
      <c r="AF144" s="87"/>
    </row>
    <row r="145" spans="1:32" s="15" customFormat="1" ht="13.2" x14ac:dyDescent="0.25">
      <c r="A145" s="117">
        <v>68501</v>
      </c>
      <c r="B145" s="15" t="s">
        <v>49</v>
      </c>
      <c r="C145" s="87">
        <v>284299.31</v>
      </c>
      <c r="D145" s="87">
        <f>+C145*0.5</f>
        <v>142149.655</v>
      </c>
      <c r="E145" s="118">
        <f t="shared" si="27"/>
        <v>142149.655</v>
      </c>
      <c r="G145" s="119">
        <f>+E145*G3+D145</f>
        <v>270156.86983418366</v>
      </c>
      <c r="H145" s="98">
        <v>9087.7232908163278</v>
      </c>
      <c r="I145" s="122"/>
      <c r="J145" s="87">
        <v>284299.31</v>
      </c>
      <c r="K145" s="118">
        <f>+J145*0.5</f>
        <v>142149.655</v>
      </c>
      <c r="L145" s="118"/>
      <c r="M145" s="87">
        <f t="shared" si="29"/>
        <v>142149.655</v>
      </c>
      <c r="O145" s="145">
        <f>+M145*$G$3+K145</f>
        <v>270156.86983418366</v>
      </c>
      <c r="P145" s="194">
        <f t="shared" si="34"/>
        <v>14142.440165816326</v>
      </c>
      <c r="Q145" s="137"/>
      <c r="R145" s="139">
        <f t="shared" si="31"/>
        <v>5054.7168749999983</v>
      </c>
      <c r="X145"/>
      <c r="Y145"/>
      <c r="Z145" s="12">
        <v>68501</v>
      </c>
      <c r="AA145" s="12" t="s">
        <v>49</v>
      </c>
      <c r="AB145" s="87">
        <v>284299.31</v>
      </c>
      <c r="AC145"/>
      <c r="AD145" s="144"/>
      <c r="AE145" s="12"/>
      <c r="AF145" s="87"/>
    </row>
    <row r="146" spans="1:32" ht="13.2" x14ac:dyDescent="0.25">
      <c r="A146" s="40">
        <v>68505</v>
      </c>
      <c r="B146" s="110" t="s">
        <v>185</v>
      </c>
      <c r="C146" s="87">
        <v>1142.28</v>
      </c>
      <c r="D146" s="87"/>
      <c r="E146" s="87">
        <f t="shared" si="27"/>
        <v>1142.28</v>
      </c>
      <c r="G146" s="16">
        <f t="shared" si="28"/>
        <v>1028.6347959183672</v>
      </c>
      <c r="H146" s="98">
        <v>113.64520408163266</v>
      </c>
      <c r="I146" s="85"/>
      <c r="J146" s="87">
        <v>1142.28</v>
      </c>
      <c r="K146" s="87"/>
      <c r="L146" s="87"/>
      <c r="M146" s="87">
        <f t="shared" si="29"/>
        <v>1142.28</v>
      </c>
      <c r="O146" s="145">
        <f>+M146*$G$3+K146</f>
        <v>1028.6347959183672</v>
      </c>
      <c r="P146" s="194">
        <f t="shared" si="34"/>
        <v>113.64520408163266</v>
      </c>
      <c r="R146" s="139">
        <f t="shared" si="31"/>
        <v>0</v>
      </c>
      <c r="X146"/>
      <c r="Y146"/>
      <c r="Z146" s="12">
        <v>68505</v>
      </c>
      <c r="AA146" s="12" t="s">
        <v>185</v>
      </c>
      <c r="AB146" s="87">
        <v>1142.28</v>
      </c>
      <c r="AC146"/>
      <c r="AD146" s="144"/>
      <c r="AF146" s="87"/>
    </row>
    <row r="147" spans="1:32" ht="13.2" x14ac:dyDescent="0.25">
      <c r="A147" s="40">
        <v>69111</v>
      </c>
      <c r="B147" s="110" t="s">
        <v>253</v>
      </c>
      <c r="C147" s="87">
        <v>7478.93</v>
      </c>
      <c r="D147" s="87"/>
      <c r="E147" s="87">
        <f t="shared" si="27"/>
        <v>7478.93</v>
      </c>
      <c r="G147" s="16"/>
      <c r="H147" s="98"/>
      <c r="I147" s="85"/>
      <c r="J147" s="87">
        <v>7478.93</v>
      </c>
      <c r="K147" s="87"/>
      <c r="L147" s="87"/>
      <c r="M147" s="87">
        <f t="shared" si="29"/>
        <v>7478.93</v>
      </c>
      <c r="O147" s="16">
        <f>+M147</f>
        <v>7478.93</v>
      </c>
      <c r="P147" s="196"/>
      <c r="R147" s="139">
        <f t="shared" si="31"/>
        <v>0</v>
      </c>
      <c r="X147"/>
      <c r="Y147"/>
      <c r="Z147" s="12">
        <v>69111</v>
      </c>
      <c r="AA147" s="12" t="s">
        <v>253</v>
      </c>
      <c r="AB147" s="87">
        <v>7478.93</v>
      </c>
      <c r="AC147"/>
      <c r="AD147" s="144"/>
      <c r="AF147" s="87"/>
    </row>
    <row r="148" spans="1:32" ht="13.2" x14ac:dyDescent="0.25">
      <c r="A148" s="40">
        <v>69113</v>
      </c>
      <c r="B148" s="110" t="s">
        <v>186</v>
      </c>
      <c r="C148" s="87">
        <v>63519.6</v>
      </c>
      <c r="D148" s="87"/>
      <c r="E148" s="87">
        <f t="shared" si="27"/>
        <v>63519.6</v>
      </c>
      <c r="G148" s="16">
        <f t="shared" si="28"/>
        <v>57200.04795918367</v>
      </c>
      <c r="H148" s="98">
        <v>3621.74693877551</v>
      </c>
      <c r="I148" s="85"/>
      <c r="J148" s="87">
        <v>63519.6</v>
      </c>
      <c r="K148" s="87"/>
      <c r="L148" s="87"/>
      <c r="M148" s="87">
        <f t="shared" si="29"/>
        <v>63519.6</v>
      </c>
      <c r="O148" s="145">
        <f>+M148*$G$3+K148</f>
        <v>57200.04795918367</v>
      </c>
      <c r="P148" s="180">
        <f t="shared" si="34"/>
        <v>6319.5520408163266</v>
      </c>
      <c r="R148" s="139">
        <f t="shared" si="31"/>
        <v>2697.8051020408166</v>
      </c>
      <c r="X148"/>
      <c r="Y148"/>
      <c r="Z148" s="12">
        <v>69113</v>
      </c>
      <c r="AA148" s="12" t="s">
        <v>409</v>
      </c>
      <c r="AB148" s="87">
        <v>63519.6</v>
      </c>
      <c r="AC148"/>
      <c r="AD148" s="144"/>
      <c r="AF148" s="87"/>
    </row>
    <row r="149" spans="1:32" ht="13.2" x14ac:dyDescent="0.25">
      <c r="A149" s="40">
        <v>69121</v>
      </c>
      <c r="B149" s="110" t="s">
        <v>254</v>
      </c>
      <c r="C149" s="12">
        <v>335.4</v>
      </c>
      <c r="D149" s="87"/>
      <c r="E149" s="87">
        <f t="shared" si="27"/>
        <v>335.4</v>
      </c>
      <c r="G149" s="16"/>
      <c r="H149" s="98"/>
      <c r="I149" s="85"/>
      <c r="J149" s="12">
        <v>335.4</v>
      </c>
      <c r="K149" s="87"/>
      <c r="L149" s="87"/>
      <c r="M149" s="87">
        <f t="shared" si="29"/>
        <v>335.4</v>
      </c>
      <c r="O149" s="16">
        <f>+M149</f>
        <v>335.4</v>
      </c>
      <c r="P149" s="180"/>
      <c r="R149" s="139">
        <f t="shared" si="31"/>
        <v>0</v>
      </c>
      <c r="X149"/>
      <c r="Y149"/>
      <c r="Z149" s="12">
        <v>69121</v>
      </c>
      <c r="AA149" s="12" t="s">
        <v>254</v>
      </c>
      <c r="AB149" s="12">
        <v>335.4</v>
      </c>
      <c r="AC149"/>
      <c r="AD149"/>
      <c r="AF149" s="87"/>
    </row>
    <row r="150" spans="1:32" ht="13.2" x14ac:dyDescent="0.25">
      <c r="A150" s="40">
        <v>69131</v>
      </c>
      <c r="B150" s="110" t="s">
        <v>187</v>
      </c>
      <c r="C150" s="87">
        <v>80325.11</v>
      </c>
      <c r="D150" s="87"/>
      <c r="E150" s="87">
        <f t="shared" si="27"/>
        <v>80325.11</v>
      </c>
      <c r="G150" s="16">
        <f>+E150</f>
        <v>80325.11</v>
      </c>
      <c r="H150" s="98"/>
      <c r="I150" s="85"/>
      <c r="J150" s="87">
        <v>80325.11</v>
      </c>
      <c r="K150" s="87"/>
      <c r="L150" s="87"/>
      <c r="M150" s="87">
        <f t="shared" si="29"/>
        <v>80325.11</v>
      </c>
      <c r="O150" s="16">
        <f>+M150</f>
        <v>80325.11</v>
      </c>
      <c r="P150" s="180"/>
      <c r="R150" s="139">
        <f t="shared" si="31"/>
        <v>0</v>
      </c>
      <c r="X150"/>
      <c r="Y150"/>
      <c r="Z150" s="12">
        <v>69131</v>
      </c>
      <c r="AA150" s="12" t="s">
        <v>410</v>
      </c>
      <c r="AB150" s="87">
        <v>80325.11</v>
      </c>
      <c r="AC150"/>
      <c r="AD150" s="144"/>
      <c r="AF150" s="87"/>
    </row>
    <row r="151" spans="1:32" ht="13.2" x14ac:dyDescent="0.25">
      <c r="A151" s="40">
        <v>69132</v>
      </c>
      <c r="B151" s="110" t="s">
        <v>188</v>
      </c>
      <c r="C151" s="87">
        <v>108327.53</v>
      </c>
      <c r="D151" s="87"/>
      <c r="E151" s="87">
        <f t="shared" si="27"/>
        <v>108327.53</v>
      </c>
      <c r="G151" s="16">
        <f>+E151</f>
        <v>108327.53</v>
      </c>
      <c r="H151" s="98"/>
      <c r="I151" s="85"/>
      <c r="J151" s="87">
        <v>108327.53</v>
      </c>
      <c r="K151" s="87"/>
      <c r="L151" s="87"/>
      <c r="M151" s="87">
        <f t="shared" si="29"/>
        <v>108327.53</v>
      </c>
      <c r="O151" s="16">
        <f>+M151</f>
        <v>108327.53</v>
      </c>
      <c r="P151" s="180"/>
      <c r="R151" s="139">
        <f t="shared" si="31"/>
        <v>0</v>
      </c>
      <c r="X151"/>
      <c r="Y151"/>
      <c r="Z151" s="12">
        <v>69132</v>
      </c>
      <c r="AA151" s="12" t="s">
        <v>188</v>
      </c>
      <c r="AB151" s="87">
        <v>108327.53</v>
      </c>
      <c r="AC151"/>
      <c r="AD151" s="144"/>
      <c r="AF151" s="87"/>
    </row>
    <row r="152" spans="1:32" ht="13.2" x14ac:dyDescent="0.25">
      <c r="A152" s="40">
        <v>69133</v>
      </c>
      <c r="B152" s="110" t="s">
        <v>255</v>
      </c>
      <c r="C152" s="87">
        <v>11264.8</v>
      </c>
      <c r="D152" s="87"/>
      <c r="E152" s="87">
        <f t="shared" si="27"/>
        <v>11264.8</v>
      </c>
      <c r="G152" s="16"/>
      <c r="H152" s="98"/>
      <c r="I152" s="85"/>
      <c r="J152" s="87">
        <v>11264.8</v>
      </c>
      <c r="K152" s="87"/>
      <c r="L152" s="87"/>
      <c r="M152" s="87">
        <f t="shared" si="29"/>
        <v>11264.8</v>
      </c>
      <c r="O152" s="16">
        <f>+M152</f>
        <v>11264.8</v>
      </c>
      <c r="P152" s="180"/>
      <c r="R152" s="139">
        <f t="shared" si="31"/>
        <v>0</v>
      </c>
      <c r="X152"/>
      <c r="Y152"/>
      <c r="Z152" s="12">
        <v>69133</v>
      </c>
      <c r="AA152" s="12" t="s">
        <v>255</v>
      </c>
      <c r="AB152" s="87">
        <v>11264.8</v>
      </c>
      <c r="AC152"/>
      <c r="AD152" s="144"/>
      <c r="AF152" s="87"/>
    </row>
    <row r="153" spans="1:32" ht="13.2" x14ac:dyDescent="0.25">
      <c r="A153" s="40">
        <v>69199</v>
      </c>
      <c r="B153" s="110" t="s">
        <v>189</v>
      </c>
      <c r="C153" s="87">
        <v>152774.31</v>
      </c>
      <c r="D153" s="87"/>
      <c r="E153" s="87">
        <f t="shared" si="27"/>
        <v>152774.31</v>
      </c>
      <c r="G153" s="16">
        <f>+E153</f>
        <v>152774.31</v>
      </c>
      <c r="H153" s="98"/>
      <c r="I153" s="85"/>
      <c r="J153" s="87">
        <v>152774.31</v>
      </c>
      <c r="K153" s="87"/>
      <c r="L153" s="87"/>
      <c r="M153" s="87">
        <f t="shared" si="29"/>
        <v>152774.31</v>
      </c>
      <c r="O153" s="16">
        <f>+M153</f>
        <v>152774.31</v>
      </c>
      <c r="P153" s="180"/>
      <c r="R153" s="139">
        <f t="shared" si="31"/>
        <v>0</v>
      </c>
      <c r="X153"/>
      <c r="Y153"/>
      <c r="Z153" s="12">
        <v>69199</v>
      </c>
      <c r="AA153" s="12" t="s">
        <v>189</v>
      </c>
      <c r="AB153" s="87">
        <v>152774.31</v>
      </c>
      <c r="AC153"/>
      <c r="AD153" s="144"/>
      <c r="AF153" s="87"/>
    </row>
    <row r="154" spans="1:32" ht="13.2" x14ac:dyDescent="0.25">
      <c r="A154" s="40">
        <v>70101</v>
      </c>
      <c r="B154" s="110" t="s">
        <v>190</v>
      </c>
      <c r="C154" s="87">
        <v>21592</v>
      </c>
      <c r="D154" s="87"/>
      <c r="E154" s="87">
        <f t="shared" si="27"/>
        <v>21592</v>
      </c>
      <c r="G154" s="16">
        <f t="shared" si="28"/>
        <v>19443.81632653061</v>
      </c>
      <c r="H154" s="98">
        <v>1579.4005102040817</v>
      </c>
      <c r="I154" s="85"/>
      <c r="J154" s="87">
        <v>21592</v>
      </c>
      <c r="K154" s="87"/>
      <c r="L154" s="87"/>
      <c r="M154" s="87">
        <f t="shared" si="29"/>
        <v>21592</v>
      </c>
      <c r="O154" s="145">
        <f>+M154*$G$3+K154</f>
        <v>19443.81632653061</v>
      </c>
      <c r="P154" s="180">
        <f t="shared" ref="P154:P162" si="37">+M154*$H$3</f>
        <v>2148.1836734693879</v>
      </c>
      <c r="R154" s="139">
        <f t="shared" si="31"/>
        <v>568.78316326530626</v>
      </c>
      <c r="X154"/>
      <c r="Y154"/>
      <c r="Z154" s="12">
        <v>70101</v>
      </c>
      <c r="AA154" s="12" t="s">
        <v>411</v>
      </c>
      <c r="AB154" s="87">
        <v>21592</v>
      </c>
      <c r="AC154"/>
      <c r="AD154" s="144"/>
      <c r="AF154" s="87"/>
    </row>
    <row r="155" spans="1:32" ht="13.2" x14ac:dyDescent="0.25">
      <c r="A155" s="40">
        <v>70102</v>
      </c>
      <c r="B155" s="110" t="s">
        <v>190</v>
      </c>
      <c r="C155" s="87">
        <v>174443</v>
      </c>
      <c r="D155" s="87"/>
      <c r="E155" s="87">
        <f t="shared" si="27"/>
        <v>174443</v>
      </c>
      <c r="G155" s="16">
        <f t="shared" si="28"/>
        <v>157087.70153061225</v>
      </c>
      <c r="H155" s="98">
        <v>13931.755102040815</v>
      </c>
      <c r="I155" s="85"/>
      <c r="J155" s="87">
        <v>174443</v>
      </c>
      <c r="K155" s="87"/>
      <c r="L155" s="87"/>
      <c r="M155" s="87">
        <f t="shared" si="29"/>
        <v>174443</v>
      </c>
      <c r="O155" s="145">
        <f>+M155*$G$3+K155</f>
        <v>157087.70153061225</v>
      </c>
      <c r="P155" s="180">
        <f t="shared" si="37"/>
        <v>17355.298469387755</v>
      </c>
      <c r="R155" s="139">
        <f t="shared" si="31"/>
        <v>3423.5433673469397</v>
      </c>
      <c r="X155"/>
      <c r="Y155"/>
      <c r="Z155" s="12">
        <v>70102</v>
      </c>
      <c r="AA155" s="12" t="s">
        <v>412</v>
      </c>
      <c r="AB155" s="87">
        <v>174443</v>
      </c>
      <c r="AC155"/>
      <c r="AD155" s="144"/>
      <c r="AF155" s="87"/>
    </row>
    <row r="156" spans="1:32" ht="13.2" x14ac:dyDescent="0.25">
      <c r="A156" s="40">
        <v>70103</v>
      </c>
      <c r="B156" s="110" t="s">
        <v>191</v>
      </c>
      <c r="C156" s="87">
        <v>1120584.43</v>
      </c>
      <c r="D156" s="87"/>
      <c r="E156" s="87">
        <f t="shared" si="27"/>
        <v>1120584.43</v>
      </c>
      <c r="G156" s="16">
        <f t="shared" si="28"/>
        <v>1009097.7137499999</v>
      </c>
      <c r="H156" s="98">
        <v>86263.816454081621</v>
      </c>
      <c r="I156" s="85"/>
      <c r="J156" s="87">
        <v>1120584.43</v>
      </c>
      <c r="K156" s="87"/>
      <c r="L156" s="87"/>
      <c r="M156" s="87">
        <f t="shared" si="29"/>
        <v>1120584.43</v>
      </c>
      <c r="O156" s="145">
        <f>+M156*$G$3+K156</f>
        <v>1009097.7137499999</v>
      </c>
      <c r="P156" s="180">
        <f t="shared" si="37"/>
        <v>111486.71625</v>
      </c>
      <c r="R156" s="139">
        <f t="shared" si="31"/>
        <v>25222.899795918376</v>
      </c>
      <c r="X156"/>
      <c r="Y156"/>
      <c r="Z156" s="12">
        <v>70103</v>
      </c>
      <c r="AA156" s="12" t="s">
        <v>413</v>
      </c>
      <c r="AB156" s="87">
        <v>1120584.43</v>
      </c>
      <c r="AC156"/>
      <c r="AD156" s="144"/>
      <c r="AF156" s="87"/>
    </row>
    <row r="157" spans="1:32" ht="13.2" x14ac:dyDescent="0.25">
      <c r="A157" s="40">
        <v>70121</v>
      </c>
      <c r="B157" s="110" t="s">
        <v>192</v>
      </c>
      <c r="C157" s="87">
        <v>152605.47</v>
      </c>
      <c r="D157" s="87"/>
      <c r="E157" s="87">
        <f t="shared" si="27"/>
        <v>152605.47</v>
      </c>
      <c r="G157" s="16">
        <f t="shared" si="28"/>
        <v>137422.78293367347</v>
      </c>
      <c r="H157" s="98">
        <v>10860.584693877552</v>
      </c>
      <c r="I157" s="85"/>
      <c r="J157" s="87">
        <v>152605.47</v>
      </c>
      <c r="K157" s="87"/>
      <c r="L157" s="87"/>
      <c r="M157" s="87">
        <f t="shared" si="29"/>
        <v>152605.47</v>
      </c>
      <c r="O157" s="145">
        <f>+M157*$G$3+K157</f>
        <v>137422.78293367347</v>
      </c>
      <c r="P157" s="180">
        <f t="shared" si="37"/>
        <v>15182.687066326531</v>
      </c>
      <c r="R157" s="139">
        <f t="shared" si="31"/>
        <v>4322.1023724489787</v>
      </c>
      <c r="X157"/>
      <c r="Y157"/>
      <c r="Z157" s="12">
        <v>70121</v>
      </c>
      <c r="AA157" s="12" t="s">
        <v>414</v>
      </c>
      <c r="AB157" s="87">
        <v>152605.47</v>
      </c>
      <c r="AC157"/>
      <c r="AD157" s="144"/>
      <c r="AF157" s="87"/>
    </row>
    <row r="158" spans="1:32" ht="13.2" x14ac:dyDescent="0.25">
      <c r="A158" s="40">
        <v>70131</v>
      </c>
      <c r="B158" s="110" t="s">
        <v>193</v>
      </c>
      <c r="C158" s="87">
        <v>40117.25</v>
      </c>
      <c r="D158" s="87"/>
      <c r="E158" s="87">
        <f t="shared" si="27"/>
        <v>40117.25</v>
      </c>
      <c r="G158" s="16">
        <f t="shared" si="28"/>
        <v>36125.992984693876</v>
      </c>
      <c r="H158" s="98">
        <v>3399.422066326531</v>
      </c>
      <c r="I158" s="85"/>
      <c r="J158" s="87">
        <v>40117.25</v>
      </c>
      <c r="K158" s="87"/>
      <c r="L158" s="87"/>
      <c r="M158" s="87">
        <f t="shared" si="29"/>
        <v>40117.25</v>
      </c>
      <c r="O158" s="145">
        <f>+M158*$G$3+K158</f>
        <v>36125.992984693876</v>
      </c>
      <c r="P158" s="180">
        <f t="shared" si="37"/>
        <v>3991.2570153061224</v>
      </c>
      <c r="R158" s="139">
        <f t="shared" si="31"/>
        <v>591.83494897959145</v>
      </c>
      <c r="X158"/>
      <c r="Y158"/>
      <c r="Z158" s="12">
        <v>70131</v>
      </c>
      <c r="AA158" s="12" t="s">
        <v>415</v>
      </c>
      <c r="AB158" s="87">
        <v>40117.25</v>
      </c>
      <c r="AC158"/>
      <c r="AD158" s="144"/>
      <c r="AF158" s="87"/>
    </row>
    <row r="159" spans="1:32" ht="13.2" x14ac:dyDescent="0.25">
      <c r="A159" s="40">
        <v>70199</v>
      </c>
      <c r="B159" s="110" t="s">
        <v>256</v>
      </c>
      <c r="C159" s="87">
        <v>10805</v>
      </c>
      <c r="D159" s="87"/>
      <c r="E159" s="87">
        <f t="shared" si="27"/>
        <v>10805</v>
      </c>
      <c r="G159" s="16"/>
      <c r="H159" s="98"/>
      <c r="I159" s="85"/>
      <c r="J159" s="87">
        <v>10805</v>
      </c>
      <c r="K159" s="87"/>
      <c r="L159" s="87"/>
      <c r="M159" s="87">
        <f t="shared" si="29"/>
        <v>10805</v>
      </c>
      <c r="O159" s="16">
        <f>+M159</f>
        <v>10805</v>
      </c>
      <c r="P159" s="180"/>
      <c r="R159" s="139">
        <f t="shared" si="31"/>
        <v>0</v>
      </c>
      <c r="X159"/>
      <c r="Y159"/>
      <c r="Z159" s="12">
        <v>70199</v>
      </c>
      <c r="AA159" s="12" t="s">
        <v>256</v>
      </c>
      <c r="AB159" s="87">
        <v>10805</v>
      </c>
      <c r="AC159"/>
      <c r="AD159" s="144"/>
      <c r="AF159" s="87"/>
    </row>
    <row r="160" spans="1:32" ht="13.2" x14ac:dyDescent="0.25">
      <c r="A160" s="40">
        <v>70201</v>
      </c>
      <c r="B160" s="110" t="s">
        <v>194</v>
      </c>
      <c r="C160" s="87">
        <v>166677.89000000001</v>
      </c>
      <c r="D160" s="87"/>
      <c r="E160" s="87">
        <f t="shared" si="27"/>
        <v>166677.89000000001</v>
      </c>
      <c r="G160" s="16">
        <f t="shared" si="28"/>
        <v>150095.14073979593</v>
      </c>
      <c r="H160" s="98">
        <v>8396.6990051020402</v>
      </c>
      <c r="I160" s="85"/>
      <c r="J160" s="87">
        <v>166677.89000000001</v>
      </c>
      <c r="K160" s="87"/>
      <c r="L160" s="87"/>
      <c r="M160" s="87">
        <f t="shared" si="29"/>
        <v>166677.89000000001</v>
      </c>
      <c r="O160" s="145">
        <f>+M160*$G$3+K160</f>
        <v>150095.14073979593</v>
      </c>
      <c r="P160" s="180">
        <f t="shared" si="37"/>
        <v>16582.749260204084</v>
      </c>
      <c r="R160" s="139">
        <f t="shared" si="31"/>
        <v>8186.0502551020436</v>
      </c>
      <c r="X160"/>
      <c r="Y160"/>
      <c r="Z160" s="12">
        <v>70201</v>
      </c>
      <c r="AA160" s="12" t="s">
        <v>194</v>
      </c>
      <c r="AB160" s="87">
        <v>166677.89000000001</v>
      </c>
      <c r="AC160"/>
      <c r="AD160" s="144"/>
      <c r="AF160" s="87"/>
    </row>
    <row r="161" spans="1:32" ht="13.2" x14ac:dyDescent="0.25">
      <c r="A161" s="40">
        <v>70203</v>
      </c>
      <c r="B161" s="110" t="s">
        <v>195</v>
      </c>
      <c r="C161" s="87">
        <v>596529.15</v>
      </c>
      <c r="D161" s="87"/>
      <c r="E161" s="87">
        <f t="shared" si="27"/>
        <v>596529.15</v>
      </c>
      <c r="G161" s="16">
        <f t="shared" si="28"/>
        <v>537180.58660714282</v>
      </c>
      <c r="H161" s="98">
        <v>26742.355714285717</v>
      </c>
      <c r="I161" s="85"/>
      <c r="J161" s="87">
        <v>596529.15</v>
      </c>
      <c r="K161" s="87"/>
      <c r="L161" s="87"/>
      <c r="M161" s="87">
        <f t="shared" si="29"/>
        <v>596529.15</v>
      </c>
      <c r="O161" s="145">
        <f>+M161*$G$3+K161</f>
        <v>537180.58660714282</v>
      </c>
      <c r="P161" s="196">
        <f>+M161*$H$3</f>
        <v>59348.563392857148</v>
      </c>
      <c r="R161" s="139">
        <f t="shared" si="31"/>
        <v>32606.207678571431</v>
      </c>
      <c r="X161"/>
      <c r="Y161"/>
      <c r="Z161" s="12">
        <v>70203</v>
      </c>
      <c r="AA161" s="12" t="s">
        <v>195</v>
      </c>
      <c r="AB161" s="87">
        <v>596529.15</v>
      </c>
      <c r="AC161"/>
      <c r="AD161" s="144"/>
      <c r="AF161" s="87"/>
    </row>
    <row r="162" spans="1:32" ht="13.2" x14ac:dyDescent="0.25">
      <c r="A162" s="40">
        <v>70301</v>
      </c>
      <c r="B162" s="110" t="s">
        <v>196</v>
      </c>
      <c r="C162" s="87">
        <v>40093.279999999999</v>
      </c>
      <c r="D162" s="87"/>
      <c r="E162" s="87">
        <f t="shared" si="27"/>
        <v>40093.279999999999</v>
      </c>
      <c r="G162" s="16">
        <f t="shared" si="28"/>
        <v>36104.407755102038</v>
      </c>
      <c r="H162" s="98">
        <v>3695.6350255102043</v>
      </c>
      <c r="I162" s="85"/>
      <c r="J162" s="87">
        <v>40093.279999999999</v>
      </c>
      <c r="K162" s="87"/>
      <c r="L162" s="87"/>
      <c r="M162" s="87">
        <f t="shared" si="29"/>
        <v>40093.279999999999</v>
      </c>
      <c r="O162" s="145">
        <f>+M162*$G$3+K162</f>
        <v>36104.407755102038</v>
      </c>
      <c r="P162" s="199">
        <f t="shared" si="37"/>
        <v>3988.8722448979593</v>
      </c>
      <c r="R162" s="139">
        <f t="shared" si="31"/>
        <v>293.23721938775498</v>
      </c>
      <c r="X162"/>
      <c r="Y162"/>
      <c r="Z162" s="12">
        <v>70301</v>
      </c>
      <c r="AA162" s="12" t="s">
        <v>416</v>
      </c>
      <c r="AB162" s="87">
        <v>40093.279999999999</v>
      </c>
      <c r="AC162"/>
      <c r="AD162" s="144"/>
      <c r="AF162" s="87"/>
    </row>
    <row r="163" spans="1:32" ht="13.2" x14ac:dyDescent="0.25">
      <c r="A163" s="40">
        <v>73101</v>
      </c>
      <c r="B163" s="110" t="s">
        <v>197</v>
      </c>
      <c r="C163" s="87">
        <v>101333.44</v>
      </c>
      <c r="D163" s="87"/>
      <c r="E163" s="87">
        <f t="shared" si="27"/>
        <v>101333.44</v>
      </c>
      <c r="G163" s="16">
        <f>+E163</f>
        <v>101333.44</v>
      </c>
      <c r="H163" s="98"/>
      <c r="I163" s="85"/>
      <c r="J163" s="87">
        <v>101333.44</v>
      </c>
      <c r="K163" s="87"/>
      <c r="L163" s="87"/>
      <c r="M163" s="87">
        <f t="shared" si="29"/>
        <v>101333.44</v>
      </c>
      <c r="O163" s="16">
        <f>+M163</f>
        <v>101333.44</v>
      </c>
      <c r="P163" s="196"/>
      <c r="R163" s="139">
        <f t="shared" si="31"/>
        <v>0</v>
      </c>
      <c r="X163"/>
      <c r="Y163"/>
      <c r="Z163" s="12">
        <v>73101</v>
      </c>
      <c r="AA163" s="12" t="s">
        <v>417</v>
      </c>
      <c r="AB163" s="87">
        <v>101333.44</v>
      </c>
      <c r="AC163"/>
      <c r="AD163" s="144"/>
      <c r="AF163" s="87"/>
    </row>
    <row r="164" spans="1:32" ht="13.2" x14ac:dyDescent="0.25">
      <c r="A164" s="40">
        <v>73111</v>
      </c>
      <c r="B164" s="110" t="s">
        <v>198</v>
      </c>
      <c r="C164" s="87">
        <v>1440</v>
      </c>
      <c r="D164" s="87"/>
      <c r="E164" s="87">
        <f t="shared" si="27"/>
        <v>1440</v>
      </c>
      <c r="G164" s="16">
        <f>+E164</f>
        <v>1440</v>
      </c>
      <c r="H164" s="98"/>
      <c r="I164" s="85"/>
      <c r="J164" s="87">
        <v>1440</v>
      </c>
      <c r="K164" s="87"/>
      <c r="L164" s="87"/>
      <c r="M164" s="87">
        <f t="shared" si="29"/>
        <v>1440</v>
      </c>
      <c r="O164" s="16">
        <f>+M164</f>
        <v>1440</v>
      </c>
      <c r="P164" s="196"/>
      <c r="R164" s="139">
        <f t="shared" si="31"/>
        <v>0</v>
      </c>
      <c r="X164"/>
      <c r="Y164"/>
      <c r="Z164" s="12">
        <v>73111</v>
      </c>
      <c r="AA164" s="12" t="s">
        <v>418</v>
      </c>
      <c r="AB164" s="87">
        <v>1440</v>
      </c>
      <c r="AC164"/>
      <c r="AD164"/>
      <c r="AF164" s="87"/>
    </row>
    <row r="165" spans="1:32" ht="13.2" x14ac:dyDescent="0.25">
      <c r="A165" s="40">
        <v>73112</v>
      </c>
      <c r="B165" s="110" t="s">
        <v>199</v>
      </c>
      <c r="C165" s="87">
        <v>64229.599999999999</v>
      </c>
      <c r="D165" s="87"/>
      <c r="E165" s="87">
        <f t="shared" si="27"/>
        <v>64229.599999999999</v>
      </c>
      <c r="G165" s="16">
        <f>+E165</f>
        <v>64229.599999999999</v>
      </c>
      <c r="H165" s="98"/>
      <c r="I165" s="85"/>
      <c r="J165" s="87">
        <v>64229.599999999999</v>
      </c>
      <c r="K165" s="87"/>
      <c r="L165" s="87"/>
      <c r="M165" s="87">
        <f t="shared" si="29"/>
        <v>64229.599999999999</v>
      </c>
      <c r="O165" s="16">
        <f t="shared" ref="O165:O182" si="38">+M165</f>
        <v>64229.599999999999</v>
      </c>
      <c r="P165" s="196"/>
      <c r="R165" s="139">
        <f t="shared" ref="R165:R179" si="39">+P165-H165</f>
        <v>0</v>
      </c>
      <c r="X165"/>
      <c r="Y165"/>
      <c r="Z165" s="12">
        <v>73112</v>
      </c>
      <c r="AA165" s="12" t="s">
        <v>199</v>
      </c>
      <c r="AB165" s="87">
        <v>64229.599999999999</v>
      </c>
      <c r="AC165"/>
      <c r="AD165" s="144"/>
      <c r="AF165" s="87"/>
    </row>
    <row r="166" spans="1:32" ht="13.2" x14ac:dyDescent="0.25">
      <c r="A166" s="40">
        <v>73180</v>
      </c>
      <c r="B166" s="110" t="s">
        <v>200</v>
      </c>
      <c r="C166" s="87">
        <v>1820000</v>
      </c>
      <c r="D166" s="87"/>
      <c r="E166" s="87">
        <f t="shared" si="27"/>
        <v>1820000</v>
      </c>
      <c r="G166" s="16">
        <f>+E166</f>
        <v>1820000</v>
      </c>
      <c r="H166" s="98"/>
      <c r="I166" s="85"/>
      <c r="J166" s="87">
        <v>1820000</v>
      </c>
      <c r="K166" s="87"/>
      <c r="L166" s="87"/>
      <c r="M166" s="87">
        <f t="shared" ref="M166:M179" si="40">+J166-K166-L166</f>
        <v>1820000</v>
      </c>
      <c r="O166" s="16">
        <f t="shared" si="38"/>
        <v>1820000</v>
      </c>
      <c r="P166" s="196"/>
      <c r="R166" s="139">
        <f t="shared" si="39"/>
        <v>0</v>
      </c>
      <c r="X166"/>
      <c r="Y166"/>
      <c r="Z166" s="12">
        <v>73180</v>
      </c>
      <c r="AA166" s="12" t="s">
        <v>200</v>
      </c>
      <c r="AB166" s="87">
        <v>1820000</v>
      </c>
      <c r="AC166"/>
      <c r="AD166" s="144"/>
      <c r="AF166" s="87"/>
    </row>
    <row r="167" spans="1:32" ht="13.2" x14ac:dyDescent="0.25">
      <c r="A167" s="40">
        <v>73201</v>
      </c>
      <c r="B167" s="110" t="s">
        <v>201</v>
      </c>
      <c r="C167" s="87">
        <v>470516.3</v>
      </c>
      <c r="D167" s="87"/>
      <c r="E167" s="87">
        <f t="shared" si="27"/>
        <v>470516.3</v>
      </c>
      <c r="G167" s="16">
        <f>+E167</f>
        <v>470516.3</v>
      </c>
      <c r="H167" s="98"/>
      <c r="I167" s="85"/>
      <c r="J167" s="87">
        <v>470516.3</v>
      </c>
      <c r="K167" s="87"/>
      <c r="L167" s="87"/>
      <c r="M167" s="87">
        <f t="shared" si="40"/>
        <v>470516.3</v>
      </c>
      <c r="O167" s="16">
        <f t="shared" si="38"/>
        <v>470516.3</v>
      </c>
      <c r="P167" s="196"/>
      <c r="R167" s="139">
        <f t="shared" si="39"/>
        <v>0</v>
      </c>
      <c r="X167"/>
      <c r="Y167"/>
      <c r="Z167" s="12">
        <v>73201</v>
      </c>
      <c r="AA167" s="12" t="s">
        <v>419</v>
      </c>
      <c r="AB167" s="87">
        <v>470516.3</v>
      </c>
      <c r="AC167"/>
      <c r="AD167" s="144"/>
      <c r="AF167" s="87"/>
    </row>
    <row r="168" spans="1:32" ht="13.2" x14ac:dyDescent="0.25">
      <c r="A168" s="40">
        <v>73205</v>
      </c>
      <c r="B168" s="110" t="s">
        <v>202</v>
      </c>
      <c r="C168" s="87">
        <v>1167.2</v>
      </c>
      <c r="D168" s="87"/>
      <c r="E168" s="87">
        <f t="shared" si="27"/>
        <v>1167.2</v>
      </c>
      <c r="G168" s="16">
        <f t="shared" ref="G168:G174" si="41">+E168</f>
        <v>1167.2</v>
      </c>
      <c r="H168" s="98"/>
      <c r="I168" s="85"/>
      <c r="J168" s="87">
        <v>1167.2</v>
      </c>
      <c r="K168" s="87"/>
      <c r="L168" s="87"/>
      <c r="M168" s="87">
        <f t="shared" si="40"/>
        <v>1167.2</v>
      </c>
      <c r="O168" s="16">
        <f t="shared" si="38"/>
        <v>1167.2</v>
      </c>
      <c r="P168" s="196"/>
      <c r="R168" s="139">
        <f t="shared" si="39"/>
        <v>0</v>
      </c>
      <c r="W168" s="20"/>
      <c r="X168" s="10"/>
      <c r="Y168"/>
      <c r="Z168" s="12">
        <v>73205</v>
      </c>
      <c r="AA168" s="12" t="s">
        <v>420</v>
      </c>
      <c r="AB168" s="87">
        <v>1167.2</v>
      </c>
      <c r="AC168"/>
      <c r="AD168" s="144"/>
      <c r="AF168" s="87"/>
    </row>
    <row r="169" spans="1:32" ht="13.2" x14ac:dyDescent="0.25">
      <c r="A169" s="40">
        <v>73216</v>
      </c>
      <c r="B169" s="110" t="s">
        <v>421</v>
      </c>
      <c r="C169" s="87">
        <v>2052</v>
      </c>
      <c r="D169" s="20"/>
      <c r="E169" s="87">
        <f t="shared" si="27"/>
        <v>2052</v>
      </c>
      <c r="F169" s="20"/>
      <c r="G169" s="16"/>
      <c r="H169" s="98"/>
      <c r="I169" s="74"/>
      <c r="J169" s="87">
        <v>2052</v>
      </c>
      <c r="K169" s="20"/>
      <c r="L169" s="20"/>
      <c r="M169" s="87">
        <f t="shared" si="40"/>
        <v>2052</v>
      </c>
      <c r="N169" s="20"/>
      <c r="O169" s="16">
        <f t="shared" si="38"/>
        <v>2052</v>
      </c>
      <c r="P169" s="196"/>
      <c r="R169" s="139">
        <f t="shared" si="39"/>
        <v>0</v>
      </c>
      <c r="V169" s="13"/>
      <c r="W169" s="20"/>
      <c r="X169" s="60"/>
      <c r="Y169"/>
      <c r="Z169" s="12">
        <v>73216</v>
      </c>
      <c r="AA169" s="12" t="s">
        <v>421</v>
      </c>
      <c r="AB169" s="87">
        <v>2052</v>
      </c>
      <c r="AC169"/>
      <c r="AD169" s="144"/>
      <c r="AF169" s="87"/>
    </row>
    <row r="170" spans="1:32" ht="13.2" x14ac:dyDescent="0.25">
      <c r="A170" s="40">
        <v>73219</v>
      </c>
      <c r="B170" s="110" t="s">
        <v>203</v>
      </c>
      <c r="C170" s="87">
        <v>266613.8</v>
      </c>
      <c r="D170" s="87"/>
      <c r="E170" s="87">
        <f t="shared" si="27"/>
        <v>266613.8</v>
      </c>
      <c r="G170" s="16">
        <f t="shared" si="41"/>
        <v>266613.8</v>
      </c>
      <c r="H170" s="98"/>
      <c r="I170" s="85"/>
      <c r="J170" s="87">
        <v>266613.8</v>
      </c>
      <c r="K170" s="87"/>
      <c r="L170" s="87"/>
      <c r="M170" s="87">
        <f t="shared" si="40"/>
        <v>266613.8</v>
      </c>
      <c r="O170" s="16">
        <f t="shared" si="38"/>
        <v>266613.8</v>
      </c>
      <c r="P170" s="196"/>
      <c r="R170" s="139">
        <f t="shared" si="39"/>
        <v>0</v>
      </c>
      <c r="W170" s="20"/>
      <c r="X170" s="10"/>
      <c r="Y170"/>
      <c r="Z170" s="12">
        <v>73219</v>
      </c>
      <c r="AA170" s="12" t="s">
        <v>203</v>
      </c>
      <c r="AB170" s="87">
        <v>266613.8</v>
      </c>
      <c r="AC170"/>
      <c r="AD170" s="144"/>
      <c r="AF170" s="87"/>
    </row>
    <row r="171" spans="1:32" ht="13.2" x14ac:dyDescent="0.25">
      <c r="A171" s="40">
        <v>73234</v>
      </c>
      <c r="B171" s="110" t="s">
        <v>204</v>
      </c>
      <c r="C171" s="87">
        <v>219230</v>
      </c>
      <c r="D171" s="87"/>
      <c r="E171" s="87">
        <f t="shared" si="27"/>
        <v>219230</v>
      </c>
      <c r="G171" s="16">
        <f t="shared" si="41"/>
        <v>219230</v>
      </c>
      <c r="H171" s="98"/>
      <c r="I171" s="85"/>
      <c r="J171" s="87">
        <v>219230</v>
      </c>
      <c r="K171" s="87"/>
      <c r="L171" s="87"/>
      <c r="M171" s="87">
        <f t="shared" si="40"/>
        <v>219230</v>
      </c>
      <c r="O171" s="16">
        <f t="shared" si="38"/>
        <v>219230</v>
      </c>
      <c r="P171" s="196"/>
      <c r="R171" s="139">
        <f t="shared" si="39"/>
        <v>0</v>
      </c>
      <c r="W171" s="20"/>
      <c r="X171" s="10"/>
      <c r="Y171"/>
      <c r="Z171" s="12">
        <v>73234</v>
      </c>
      <c r="AA171" s="12" t="s">
        <v>204</v>
      </c>
      <c r="AB171" s="87">
        <v>219230</v>
      </c>
      <c r="AC171"/>
      <c r="AD171" s="144"/>
      <c r="AF171" s="87"/>
    </row>
    <row r="172" spans="1:32" ht="13.2" x14ac:dyDescent="0.25">
      <c r="A172" s="40">
        <v>73329</v>
      </c>
      <c r="B172" s="110" t="s">
        <v>205</v>
      </c>
      <c r="C172" s="87">
        <v>24002.62</v>
      </c>
      <c r="D172" s="87"/>
      <c r="E172" s="87">
        <f t="shared" si="27"/>
        <v>24002.62</v>
      </c>
      <c r="G172" s="16">
        <f t="shared" si="41"/>
        <v>24002.62</v>
      </c>
      <c r="H172" s="98"/>
      <c r="I172" s="85"/>
      <c r="J172" s="87">
        <v>24002.62</v>
      </c>
      <c r="K172" s="87"/>
      <c r="L172" s="87"/>
      <c r="M172" s="87">
        <f t="shared" si="40"/>
        <v>24002.62</v>
      </c>
      <c r="O172" s="16">
        <f t="shared" si="38"/>
        <v>24002.62</v>
      </c>
      <c r="P172" s="196"/>
      <c r="R172" s="139">
        <f t="shared" si="39"/>
        <v>0</v>
      </c>
      <c r="W172" s="20"/>
      <c r="X172" s="10"/>
      <c r="Y172"/>
      <c r="Z172" s="12">
        <v>73329</v>
      </c>
      <c r="AA172" s="12" t="s">
        <v>205</v>
      </c>
      <c r="AB172" s="87">
        <v>24002.62</v>
      </c>
      <c r="AC172"/>
      <c r="AD172" s="144"/>
      <c r="AF172" s="87"/>
    </row>
    <row r="173" spans="1:32" ht="13.2" x14ac:dyDescent="0.25">
      <c r="A173" s="40">
        <v>73401</v>
      </c>
      <c r="B173" s="110" t="s">
        <v>46</v>
      </c>
      <c r="C173" s="87">
        <v>575955.6</v>
      </c>
      <c r="D173" s="87"/>
      <c r="E173" s="87">
        <f t="shared" si="27"/>
        <v>575955.6</v>
      </c>
      <c r="G173" s="16">
        <f t="shared" si="41"/>
        <v>575955.6</v>
      </c>
      <c r="H173" s="98"/>
      <c r="I173" s="85"/>
      <c r="J173" s="87">
        <v>575955.6</v>
      </c>
      <c r="K173" s="87"/>
      <c r="L173" s="87"/>
      <c r="M173" s="87">
        <f t="shared" si="40"/>
        <v>575955.6</v>
      </c>
      <c r="O173" s="16">
        <f t="shared" si="38"/>
        <v>575955.6</v>
      </c>
      <c r="P173" s="196"/>
      <c r="R173" s="139">
        <f t="shared" si="39"/>
        <v>0</v>
      </c>
      <c r="W173" s="20"/>
      <c r="X173" s="10"/>
      <c r="Y173"/>
      <c r="Z173" s="12">
        <v>73401</v>
      </c>
      <c r="AA173" s="12" t="s">
        <v>46</v>
      </c>
      <c r="AB173" s="87">
        <v>575955.6</v>
      </c>
      <c r="AC173"/>
      <c r="AD173" s="144"/>
      <c r="AF173" s="87"/>
    </row>
    <row r="174" spans="1:32" ht="13.2" x14ac:dyDescent="0.25">
      <c r="A174" s="40">
        <v>73503</v>
      </c>
      <c r="B174" s="110" t="s">
        <v>206</v>
      </c>
      <c r="C174" s="87">
        <v>148077.10999999999</v>
      </c>
      <c r="D174" s="87"/>
      <c r="E174" s="87">
        <f t="shared" si="27"/>
        <v>148077.10999999999</v>
      </c>
      <c r="G174" s="16">
        <f t="shared" si="41"/>
        <v>148077.10999999999</v>
      </c>
      <c r="H174" s="98"/>
      <c r="I174" s="85"/>
      <c r="J174" s="87">
        <v>148077.10999999999</v>
      </c>
      <c r="K174" s="87"/>
      <c r="L174" s="87"/>
      <c r="M174" s="87">
        <f t="shared" si="40"/>
        <v>148077.10999999999</v>
      </c>
      <c r="O174" s="16">
        <f t="shared" si="38"/>
        <v>148077.10999999999</v>
      </c>
      <c r="P174" s="196"/>
      <c r="R174" s="139">
        <f t="shared" si="39"/>
        <v>0</v>
      </c>
      <c r="W174" s="20"/>
      <c r="X174" s="10"/>
      <c r="Y174"/>
      <c r="Z174" s="12">
        <v>73503</v>
      </c>
      <c r="AA174" s="12" t="s">
        <v>422</v>
      </c>
      <c r="AB174" s="87">
        <v>148077.10999999999</v>
      </c>
      <c r="AC174"/>
      <c r="AD174" s="144"/>
      <c r="AF174" s="87"/>
    </row>
    <row r="175" spans="1:32" ht="13.2" x14ac:dyDescent="0.25">
      <c r="A175" s="40">
        <v>74101</v>
      </c>
      <c r="B175" s="110" t="s">
        <v>207</v>
      </c>
      <c r="C175" s="87">
        <v>242709.75</v>
      </c>
      <c r="D175" s="87"/>
      <c r="E175" s="87">
        <f t="shared" ref="E175:E183" si="42">+C175-D175</f>
        <v>242709.75</v>
      </c>
      <c r="G175" s="16">
        <f>+E175</f>
        <v>242709.75</v>
      </c>
      <c r="H175" s="98"/>
      <c r="I175" s="85"/>
      <c r="J175" s="87">
        <v>242709.75</v>
      </c>
      <c r="K175" s="87"/>
      <c r="L175" s="87"/>
      <c r="M175" s="87">
        <f t="shared" si="40"/>
        <v>242709.75</v>
      </c>
      <c r="O175" s="16">
        <f t="shared" si="38"/>
        <v>242709.75</v>
      </c>
      <c r="P175" s="196"/>
      <c r="R175" s="139">
        <f t="shared" si="39"/>
        <v>0</v>
      </c>
      <c r="W175" s="20"/>
      <c r="X175" s="10"/>
      <c r="Y175"/>
      <c r="Z175" s="12">
        <v>74101</v>
      </c>
      <c r="AA175" s="12" t="s">
        <v>423</v>
      </c>
      <c r="AB175" s="87">
        <v>242709.75</v>
      </c>
      <c r="AC175"/>
      <c r="AD175" s="144"/>
      <c r="AF175" s="87"/>
    </row>
    <row r="176" spans="1:32" ht="13.2" x14ac:dyDescent="0.25">
      <c r="A176" s="40">
        <v>74103</v>
      </c>
      <c r="B176" s="110" t="s">
        <v>208</v>
      </c>
      <c r="C176" s="87">
        <v>51485</v>
      </c>
      <c r="D176" s="87"/>
      <c r="E176" s="87">
        <f t="shared" si="42"/>
        <v>51485</v>
      </c>
      <c r="G176" s="16">
        <f>+E176</f>
        <v>51485</v>
      </c>
      <c r="H176" s="98"/>
      <c r="I176" s="85"/>
      <c r="J176" s="87">
        <v>51485</v>
      </c>
      <c r="K176" s="87"/>
      <c r="L176" s="87"/>
      <c r="M176" s="87">
        <f t="shared" si="40"/>
        <v>51485</v>
      </c>
      <c r="O176" s="16">
        <f t="shared" si="38"/>
        <v>51485</v>
      </c>
      <c r="P176" s="196"/>
      <c r="R176" s="139">
        <f t="shared" si="39"/>
        <v>0</v>
      </c>
      <c r="W176" s="20"/>
      <c r="X176" s="10"/>
      <c r="Y176"/>
      <c r="Z176" s="12">
        <v>74103</v>
      </c>
      <c r="AA176" s="12" t="s">
        <v>424</v>
      </c>
      <c r="AB176" s="87">
        <v>51485</v>
      </c>
      <c r="AC176"/>
      <c r="AD176" s="144"/>
      <c r="AF176" s="87"/>
    </row>
    <row r="177" spans="1:32" s="15" customFormat="1" ht="13.2" x14ac:dyDescent="0.25">
      <c r="A177" s="117">
        <v>75199</v>
      </c>
      <c r="B177" s="15" t="s">
        <v>209</v>
      </c>
      <c r="C177" s="87">
        <v>306281.90000000002</v>
      </c>
      <c r="D177" s="118">
        <f>+C177*0.7</f>
        <v>214397.33000000002</v>
      </c>
      <c r="E177" s="118">
        <f t="shared" si="42"/>
        <v>91884.57</v>
      </c>
      <c r="G177" s="16">
        <f>+E177*$G$3+D177</f>
        <v>297140.3228826531</v>
      </c>
      <c r="H177" s="98">
        <v>6537.5693035714294</v>
      </c>
      <c r="I177" s="122"/>
      <c r="J177" s="87">
        <v>306281.90000000002</v>
      </c>
      <c r="K177" s="118">
        <f>+J177*0.7</f>
        <v>214397.33000000002</v>
      </c>
      <c r="L177" s="118"/>
      <c r="M177" s="87">
        <f t="shared" si="40"/>
        <v>91884.57</v>
      </c>
      <c r="O177" s="145">
        <f>+M177*$G$3+K177</f>
        <v>297140.3228826531</v>
      </c>
      <c r="P177" s="196">
        <f>+M177*$H$3</f>
        <v>9141.5771173469402</v>
      </c>
      <c r="Q177" s="137"/>
      <c r="R177" s="198">
        <f t="shared" si="39"/>
        <v>2604.0078137755108</v>
      </c>
      <c r="W177" s="28"/>
      <c r="X177" s="10"/>
      <c r="Y177"/>
      <c r="Z177" s="12">
        <v>75199</v>
      </c>
      <c r="AA177" s="12" t="s">
        <v>209</v>
      </c>
      <c r="AB177" s="87">
        <v>306281.90000000002</v>
      </c>
      <c r="AC177"/>
      <c r="AD177" s="144"/>
      <c r="AE177" s="12"/>
      <c r="AF177" s="87"/>
    </row>
    <row r="178" spans="1:32" ht="13.2" x14ac:dyDescent="0.25">
      <c r="A178" s="40">
        <v>77101</v>
      </c>
      <c r="B178" s="110" t="s">
        <v>425</v>
      </c>
      <c r="C178" s="87">
        <v>2543.1999999999998</v>
      </c>
      <c r="D178" s="20"/>
      <c r="E178" s="87">
        <f t="shared" si="42"/>
        <v>2543.1999999999998</v>
      </c>
      <c r="F178" s="20"/>
      <c r="G178" s="16"/>
      <c r="H178" s="98"/>
      <c r="I178" s="74"/>
      <c r="J178" s="87">
        <v>2543.1999999999998</v>
      </c>
      <c r="K178" s="20"/>
      <c r="L178" s="20"/>
      <c r="M178" s="87">
        <f t="shared" si="40"/>
        <v>2543.1999999999998</v>
      </c>
      <c r="N178" s="20"/>
      <c r="O178" s="16">
        <f t="shared" si="38"/>
        <v>2543.1999999999998</v>
      </c>
      <c r="P178" s="196"/>
      <c r="R178" s="139">
        <f t="shared" si="39"/>
        <v>0</v>
      </c>
      <c r="V178" s="13"/>
      <c r="W178" s="20"/>
      <c r="X178" s="60"/>
      <c r="Y178"/>
      <c r="Z178" s="12">
        <v>77101</v>
      </c>
      <c r="AA178" s="12" t="s">
        <v>425</v>
      </c>
      <c r="AB178" s="87">
        <v>2543.1999999999998</v>
      </c>
      <c r="AC178"/>
      <c r="AD178" s="144"/>
      <c r="AF178" s="87"/>
    </row>
    <row r="179" spans="1:32" ht="13.2" x14ac:dyDescent="0.25">
      <c r="A179" s="40">
        <v>77103</v>
      </c>
      <c r="B179" s="110" t="s">
        <v>210</v>
      </c>
      <c r="C179" s="87">
        <v>-111618.14</v>
      </c>
      <c r="D179" s="87"/>
      <c r="E179" s="87">
        <f t="shared" si="42"/>
        <v>-111618.14</v>
      </c>
      <c r="G179" s="16">
        <f>+E179</f>
        <v>-111618.14</v>
      </c>
      <c r="H179" s="98"/>
      <c r="I179" s="85"/>
      <c r="J179" s="87">
        <v>-111618.14</v>
      </c>
      <c r="K179" s="87"/>
      <c r="L179" s="87"/>
      <c r="M179" s="87">
        <f t="shared" si="40"/>
        <v>-111618.14</v>
      </c>
      <c r="O179" s="16">
        <f t="shared" si="38"/>
        <v>-111618.14</v>
      </c>
      <c r="P179" s="196"/>
      <c r="R179" s="139">
        <f t="shared" si="39"/>
        <v>0</v>
      </c>
      <c r="W179" s="20"/>
      <c r="X179" s="10"/>
      <c r="Y179"/>
      <c r="Z179" s="12">
        <v>77103</v>
      </c>
      <c r="AA179" s="12" t="s">
        <v>426</v>
      </c>
      <c r="AB179" s="87">
        <v>-111618.14</v>
      </c>
      <c r="AC179"/>
      <c r="AD179" s="144"/>
      <c r="AF179" s="87"/>
    </row>
    <row r="180" spans="1:32" ht="13.2" x14ac:dyDescent="0.25">
      <c r="A180" s="40">
        <v>77111</v>
      </c>
      <c r="B180" s="110" t="s">
        <v>211</v>
      </c>
      <c r="C180" s="87">
        <v>333333.33</v>
      </c>
      <c r="D180" s="87"/>
      <c r="E180" s="87">
        <f t="shared" si="42"/>
        <v>333333.33</v>
      </c>
      <c r="G180" s="16">
        <f>+E180*$G$3</f>
        <v>300170.06502551021</v>
      </c>
      <c r="H180" s="98"/>
      <c r="I180" s="85"/>
      <c r="J180" s="87">
        <v>333333.33</v>
      </c>
      <c r="K180" s="87"/>
      <c r="L180" s="87"/>
      <c r="M180" s="87">
        <f>+J180-K180-L180</f>
        <v>333333.33</v>
      </c>
      <c r="O180" s="16">
        <f t="shared" si="38"/>
        <v>333333.33</v>
      </c>
      <c r="P180" s="196"/>
      <c r="R180" s="139">
        <f>+P180-H180</f>
        <v>0</v>
      </c>
      <c r="W180" s="20"/>
      <c r="X180" s="10"/>
      <c r="Y180"/>
      <c r="Z180" s="12">
        <v>77111</v>
      </c>
      <c r="AA180" s="12" t="s">
        <v>427</v>
      </c>
      <c r="AB180" s="87">
        <v>333333.33</v>
      </c>
      <c r="AC180"/>
      <c r="AD180" s="144"/>
      <c r="AF180" s="87"/>
    </row>
    <row r="181" spans="1:32" ht="13.2" x14ac:dyDescent="0.25">
      <c r="A181" s="40">
        <v>77501</v>
      </c>
      <c r="B181" s="110" t="s">
        <v>212</v>
      </c>
      <c r="C181" s="87">
        <v>29265.67</v>
      </c>
      <c r="D181" s="87"/>
      <c r="E181" s="87">
        <f t="shared" si="42"/>
        <v>29265.67</v>
      </c>
      <c r="G181" s="16">
        <f>+E181</f>
        <v>29265.67</v>
      </c>
      <c r="H181" s="98"/>
      <c r="I181" s="85"/>
      <c r="J181" s="87">
        <v>29265.67</v>
      </c>
      <c r="K181" s="87"/>
      <c r="L181" s="87"/>
      <c r="M181" s="87">
        <f>+J181-K181-L181</f>
        <v>29265.67</v>
      </c>
      <c r="O181" s="16">
        <f t="shared" si="38"/>
        <v>29265.67</v>
      </c>
      <c r="P181" s="196"/>
      <c r="R181" s="139">
        <f>+P181-H181</f>
        <v>0</v>
      </c>
      <c r="W181" s="20"/>
      <c r="X181" s="10"/>
      <c r="Y181"/>
      <c r="Z181" s="12">
        <v>77501</v>
      </c>
      <c r="AA181" s="12" t="s">
        <v>212</v>
      </c>
      <c r="AB181" s="87">
        <v>29265.67</v>
      </c>
      <c r="AC181"/>
      <c r="AD181" s="144"/>
      <c r="AF181" s="87"/>
    </row>
    <row r="182" spans="1:32" ht="13.2" x14ac:dyDescent="0.25">
      <c r="A182" s="40">
        <v>77513</v>
      </c>
      <c r="B182" s="110" t="s">
        <v>213</v>
      </c>
      <c r="C182" s="87">
        <v>-1550</v>
      </c>
      <c r="D182" s="87"/>
      <c r="E182" s="87">
        <f t="shared" si="42"/>
        <v>-1550</v>
      </c>
      <c r="G182" s="16">
        <f>+E182</f>
        <v>-1550</v>
      </c>
      <c r="H182" s="98"/>
      <c r="I182" s="85"/>
      <c r="J182" s="87">
        <v>-1550</v>
      </c>
      <c r="K182" s="87"/>
      <c r="L182" s="87"/>
      <c r="M182" s="87">
        <f>+J182-K182-L182</f>
        <v>-1550</v>
      </c>
      <c r="O182" s="16">
        <f t="shared" si="38"/>
        <v>-1550</v>
      </c>
      <c r="P182" s="196"/>
      <c r="R182" s="139">
        <f>+P182-H182</f>
        <v>0</v>
      </c>
      <c r="W182" s="20"/>
      <c r="X182" s="10"/>
      <c r="Y182"/>
      <c r="Z182" s="12">
        <v>77513</v>
      </c>
      <c r="AA182" s="12" t="s">
        <v>213</v>
      </c>
      <c r="AB182" s="87">
        <v>-1550</v>
      </c>
      <c r="AC182"/>
      <c r="AD182" s="144"/>
      <c r="AF182" s="87"/>
    </row>
    <row r="183" spans="1:32" ht="13.2" x14ac:dyDescent="0.25">
      <c r="A183" s="40">
        <v>77901</v>
      </c>
      <c r="B183" s="110" t="s">
        <v>214</v>
      </c>
      <c r="C183" s="12">
        <v>20.79</v>
      </c>
      <c r="D183" s="87"/>
      <c r="E183" s="87">
        <f t="shared" si="42"/>
        <v>20.79</v>
      </c>
      <c r="G183" s="16">
        <f>+E183</f>
        <v>20.79</v>
      </c>
      <c r="H183" s="98"/>
      <c r="I183" s="85"/>
      <c r="J183" s="12">
        <v>20.79</v>
      </c>
      <c r="K183" s="87"/>
      <c r="L183" s="87"/>
      <c r="M183" s="87">
        <f>+J183-K183-L183</f>
        <v>20.79</v>
      </c>
      <c r="O183" s="16">
        <f>+M183</f>
        <v>20.79</v>
      </c>
      <c r="P183" s="196"/>
      <c r="R183" s="139">
        <f>+P183-H183</f>
        <v>0</v>
      </c>
      <c r="W183" s="20"/>
      <c r="X183" s="10"/>
      <c r="Y183"/>
      <c r="Z183" s="12">
        <v>77901</v>
      </c>
      <c r="AA183" s="12" t="s">
        <v>214</v>
      </c>
      <c r="AB183" s="12">
        <v>20.79</v>
      </c>
      <c r="AC183"/>
      <c r="AD183"/>
      <c r="AF183" s="87"/>
    </row>
    <row r="184" spans="1:32" ht="13.2" x14ac:dyDescent="0.25">
      <c r="G184" s="16"/>
      <c r="H184" s="16"/>
      <c r="I184" s="74"/>
      <c r="O184" s="16"/>
      <c r="P184" s="16"/>
      <c r="R184" s="20"/>
      <c r="W184" s="20"/>
      <c r="X184" s="20"/>
      <c r="AC184"/>
      <c r="AF184" s="87"/>
    </row>
    <row r="185" spans="1:32" ht="13.2" x14ac:dyDescent="0.25">
      <c r="B185" s="18" t="s">
        <v>42</v>
      </c>
      <c r="C185" s="19">
        <f>SUM(C5:C183)</f>
        <v>93220176.730000004</v>
      </c>
      <c r="D185" s="19">
        <f>SUM(D12:D183)</f>
        <v>923062.875</v>
      </c>
      <c r="E185" s="19">
        <f>SUM(E5:E183)</f>
        <v>92297113.855000004</v>
      </c>
      <c r="F185" s="19"/>
      <c r="G185" s="19">
        <f>SUM(G5:G183)</f>
        <v>93788929.994733736</v>
      </c>
      <c r="H185" s="19">
        <f>SUM(H5:H183)</f>
        <v>358800.3631795955</v>
      </c>
      <c r="I185" s="74"/>
      <c r="J185" s="19">
        <f>SUM(J5:J183)</f>
        <v>93220176.730000004</v>
      </c>
      <c r="K185" s="19">
        <f>SUM(K12:K183)</f>
        <v>923062.875</v>
      </c>
      <c r="L185" s="19">
        <f>SUM(L12:L183)</f>
        <v>1949437.33</v>
      </c>
      <c r="M185" s="19">
        <f>SUM(M5:M183)</f>
        <v>90347676.525000006</v>
      </c>
      <c r="N185" s="19"/>
      <c r="O185" s="19">
        <f>SUM(O5:O183)</f>
        <v>92555592.476630539</v>
      </c>
      <c r="P185" s="19">
        <f>SUM(P5:P183)</f>
        <v>664584.25336956326</v>
      </c>
      <c r="Q185" s="73"/>
      <c r="R185" s="140">
        <f>SUM(R5:R183)</f>
        <v>305783.89018996834</v>
      </c>
      <c r="W185" s="20"/>
      <c r="X185" s="20"/>
      <c r="AB185" s="19">
        <f>SUM(AB5:AB183)</f>
        <v>93346238.190000013</v>
      </c>
      <c r="AC185"/>
      <c r="AF185" s="87"/>
    </row>
    <row r="186" spans="1:32" ht="13.2" x14ac:dyDescent="0.25">
      <c r="G186" s="16"/>
      <c r="H186" s="16"/>
      <c r="I186" s="74"/>
      <c r="O186" s="16"/>
      <c r="P186" s="16"/>
      <c r="W186" s="20"/>
      <c r="X186" s="20"/>
      <c r="AC186"/>
      <c r="AF186" s="87"/>
    </row>
    <row r="187" spans="1:32" ht="13.2" x14ac:dyDescent="0.25">
      <c r="G187" s="16"/>
      <c r="H187" s="16"/>
      <c r="I187" s="85"/>
      <c r="O187" s="16"/>
      <c r="P187" s="16"/>
      <c r="W187" s="20"/>
      <c r="X187" s="20"/>
      <c r="AC187"/>
      <c r="AF187" s="87"/>
    </row>
    <row r="188" spans="1:32" ht="13.2" x14ac:dyDescent="0.25">
      <c r="A188" s="20"/>
      <c r="B188" s="20"/>
      <c r="C188" s="21"/>
      <c r="D188" s="21"/>
      <c r="E188" s="21"/>
      <c r="F188" s="20"/>
      <c r="G188" s="22"/>
      <c r="H188" s="22"/>
      <c r="I188" s="85"/>
      <c r="J188" s="22"/>
      <c r="K188" s="22"/>
      <c r="L188" s="22"/>
      <c r="M188" s="22"/>
      <c r="N188" s="22"/>
      <c r="O188" s="22"/>
      <c r="P188" s="22"/>
      <c r="R188" s="22"/>
      <c r="W188" s="20"/>
      <c r="X188" s="20"/>
      <c r="AC188"/>
      <c r="AF188" s="87"/>
    </row>
    <row r="189" spans="1:32" ht="13.2" x14ac:dyDescent="0.25">
      <c r="A189" s="20"/>
      <c r="B189" s="20" t="s">
        <v>442</v>
      </c>
      <c r="C189" s="21"/>
      <c r="D189" s="21"/>
      <c r="E189" s="21"/>
      <c r="F189" s="20"/>
      <c r="G189" s="22"/>
      <c r="H189" s="22">
        <f>SUM(H12:H183)</f>
        <v>5835163.4131795941</v>
      </c>
      <c r="I189" s="85"/>
      <c r="J189" s="21"/>
      <c r="K189" s="21"/>
      <c r="L189" s="21"/>
      <c r="M189" s="21"/>
      <c r="N189" s="20"/>
      <c r="O189" s="22"/>
      <c r="P189" s="22">
        <f>SUM(P12:P183)</f>
        <v>7983158.5033695614</v>
      </c>
      <c r="R189" s="22">
        <f>SUM(R12:R183)</f>
        <v>2147995.0901899668</v>
      </c>
      <c r="AC189"/>
      <c r="AF189" s="87"/>
    </row>
    <row r="190" spans="1:32" x14ac:dyDescent="0.2">
      <c r="B190" s="12" t="s">
        <v>443</v>
      </c>
      <c r="G190" s="16"/>
      <c r="H190" s="16">
        <f>+H189/3</f>
        <v>1945054.4710598646</v>
      </c>
      <c r="I190" s="85"/>
      <c r="O190" s="16"/>
      <c r="P190" s="16">
        <f>+P189/4</f>
        <v>1995789.6258423903</v>
      </c>
      <c r="R190" s="13">
        <f>+R189</f>
        <v>2147995.0901899668</v>
      </c>
      <c r="AF190" s="87"/>
    </row>
    <row r="191" spans="1:32" x14ac:dyDescent="0.2">
      <c r="G191" s="16"/>
      <c r="H191" s="16"/>
      <c r="I191" s="85"/>
      <c r="O191" s="16"/>
      <c r="P191" s="16"/>
      <c r="AF191" s="87"/>
    </row>
    <row r="192" spans="1:32" x14ac:dyDescent="0.2">
      <c r="G192" s="16"/>
      <c r="H192" s="16"/>
      <c r="I192" s="85"/>
      <c r="O192" s="16"/>
      <c r="P192" s="16"/>
      <c r="R192" s="13">
        <f>+H190-R190</f>
        <v>-202940.61913010222</v>
      </c>
      <c r="T192" s="12" t="s">
        <v>441</v>
      </c>
      <c r="AF192" s="87"/>
    </row>
    <row r="193" spans="1:32" ht="13.2" x14ac:dyDescent="0.25">
      <c r="G193" s="16"/>
      <c r="H193" s="16"/>
      <c r="I193" s="85"/>
      <c r="O193" s="16"/>
      <c r="P193" s="16"/>
      <c r="R193" s="13">
        <f>+P190-R190</f>
        <v>-152205.46434757649</v>
      </c>
      <c r="T193" s="12" t="s">
        <v>440</v>
      </c>
      <c r="X193"/>
      <c r="Y193"/>
      <c r="Z193" s="87"/>
      <c r="AF193" s="87"/>
    </row>
    <row r="194" spans="1:32" ht="13.2" x14ac:dyDescent="0.25">
      <c r="G194" s="16"/>
      <c r="H194" s="16"/>
      <c r="I194" s="85"/>
      <c r="O194" s="16"/>
      <c r="P194" s="16"/>
      <c r="X194"/>
      <c r="Y194"/>
      <c r="AF194" s="87"/>
    </row>
    <row r="195" spans="1:32" ht="13.2" x14ac:dyDescent="0.25">
      <c r="G195" s="16"/>
      <c r="H195" s="16"/>
      <c r="I195" s="85"/>
      <c r="O195" s="16"/>
      <c r="P195" s="16"/>
      <c r="X195"/>
      <c r="Y195"/>
      <c r="Z195" s="87"/>
      <c r="AF195" s="87"/>
    </row>
    <row r="196" spans="1:32" ht="13.2" x14ac:dyDescent="0.25">
      <c r="G196" s="16"/>
      <c r="H196" s="16"/>
      <c r="I196" s="85"/>
      <c r="O196" s="16"/>
      <c r="P196" s="16"/>
      <c r="X196"/>
      <c r="Y196"/>
      <c r="Z196" s="87"/>
      <c r="AF196" s="87"/>
    </row>
    <row r="197" spans="1:32" ht="13.2" x14ac:dyDescent="0.25">
      <c r="G197" s="16"/>
      <c r="H197" s="16"/>
      <c r="I197" s="85"/>
      <c r="O197" s="16"/>
      <c r="P197" s="16"/>
      <c r="X197"/>
      <c r="Y197"/>
      <c r="Z197" s="87"/>
      <c r="AF197" s="87"/>
    </row>
    <row r="198" spans="1:32" x14ac:dyDescent="0.2">
      <c r="G198" s="16"/>
      <c r="H198" s="16"/>
      <c r="I198" s="85"/>
      <c r="O198" s="16"/>
      <c r="P198" s="16"/>
      <c r="AF198" s="87"/>
    </row>
    <row r="199" spans="1:32" x14ac:dyDescent="0.2">
      <c r="A199" s="106"/>
      <c r="B199" s="106"/>
      <c r="C199" s="73"/>
      <c r="D199" s="73"/>
      <c r="E199" s="73"/>
      <c r="F199" s="106"/>
      <c r="G199" s="72"/>
      <c r="H199" s="72"/>
      <c r="I199" s="107"/>
      <c r="J199" s="73"/>
      <c r="K199" s="73"/>
      <c r="L199" s="73"/>
      <c r="M199" s="73"/>
      <c r="N199" s="106"/>
      <c r="O199" s="72"/>
      <c r="P199" s="72"/>
      <c r="AF199" s="87"/>
    </row>
    <row r="200" spans="1:32" x14ac:dyDescent="0.2">
      <c r="A200" s="106"/>
      <c r="B200" s="106"/>
      <c r="C200" s="73"/>
      <c r="D200" s="73"/>
      <c r="E200" s="73"/>
      <c r="F200" s="106"/>
      <c r="G200" s="72"/>
      <c r="H200" s="72"/>
      <c r="I200" s="107"/>
      <c r="J200" s="73"/>
      <c r="K200" s="73"/>
      <c r="L200" s="73"/>
      <c r="M200" s="73"/>
      <c r="N200" s="106"/>
      <c r="O200" s="72"/>
      <c r="P200" s="72"/>
      <c r="AF200" s="87"/>
    </row>
    <row r="201" spans="1:32" x14ac:dyDescent="0.2">
      <c r="A201" s="106"/>
      <c r="B201" s="106"/>
      <c r="C201" s="73"/>
      <c r="D201" s="73"/>
      <c r="E201" s="73"/>
      <c r="F201" s="106"/>
      <c r="G201" s="72"/>
      <c r="H201" s="72"/>
      <c r="I201" s="107"/>
      <c r="J201" s="73"/>
      <c r="K201" s="73"/>
      <c r="L201" s="73"/>
      <c r="M201" s="73"/>
      <c r="N201" s="106"/>
      <c r="O201" s="72"/>
      <c r="P201" s="72"/>
      <c r="AF201" s="87"/>
    </row>
    <row r="202" spans="1:32" ht="13.2" x14ac:dyDescent="0.25">
      <c r="A202" s="31"/>
      <c r="B202" s="9"/>
      <c r="C202" s="53"/>
      <c r="D202" s="53"/>
      <c r="E202" s="53"/>
      <c r="F202" s="9"/>
      <c r="G202" s="95"/>
      <c r="H202" s="95"/>
      <c r="I202" s="107"/>
      <c r="J202" s="53"/>
      <c r="K202" s="53"/>
      <c r="L202" s="53"/>
      <c r="M202" s="53"/>
      <c r="N202" s="9"/>
      <c r="O202" s="95"/>
      <c r="P202" s="95"/>
      <c r="AF202" s="87"/>
    </row>
    <row r="203" spans="1:32" ht="13.2" x14ac:dyDescent="0.25">
      <c r="A203" s="31"/>
      <c r="B203" s="9"/>
      <c r="C203" s="53"/>
      <c r="D203" s="53"/>
      <c r="E203" s="53"/>
      <c r="F203" s="9"/>
      <c r="G203" s="96"/>
      <c r="H203" s="96"/>
      <c r="I203" s="107"/>
      <c r="J203" s="53"/>
      <c r="K203" s="53"/>
      <c r="L203" s="53"/>
      <c r="M203" s="53"/>
      <c r="N203" s="9"/>
      <c r="O203" s="96"/>
      <c r="P203" s="96"/>
      <c r="AF203" s="87"/>
    </row>
    <row r="204" spans="1:32" ht="13.2" x14ac:dyDescent="0.25">
      <c r="A204" s="31"/>
      <c r="B204" s="9"/>
      <c r="C204" s="53"/>
      <c r="D204" s="53"/>
      <c r="E204" s="53"/>
      <c r="F204" s="9"/>
      <c r="G204" s="96"/>
      <c r="H204" s="96"/>
      <c r="I204" s="107"/>
      <c r="J204" s="53"/>
      <c r="K204" s="53"/>
      <c r="L204" s="53"/>
      <c r="M204" s="53"/>
      <c r="N204" s="9"/>
      <c r="O204" s="96"/>
      <c r="P204" s="96"/>
      <c r="AF204" s="87"/>
    </row>
    <row r="205" spans="1:32" ht="13.2" x14ac:dyDescent="0.25">
      <c r="A205" s="31"/>
      <c r="B205" s="31"/>
      <c r="C205" s="83"/>
      <c r="D205" s="83"/>
      <c r="E205" s="83"/>
      <c r="F205" s="31"/>
      <c r="G205" s="103"/>
      <c r="H205" s="103"/>
      <c r="I205" s="107"/>
      <c r="J205" s="83"/>
      <c r="K205" s="83"/>
      <c r="L205" s="83"/>
      <c r="M205" s="83"/>
      <c r="N205" s="31"/>
      <c r="O205" s="103"/>
      <c r="P205" s="103"/>
      <c r="AF205" s="87"/>
    </row>
    <row r="206" spans="1:32" ht="13.2" x14ac:dyDescent="0.25">
      <c r="A206" s="31"/>
      <c r="B206" s="9"/>
      <c r="C206" s="83"/>
      <c r="D206" s="83"/>
      <c r="E206" s="83"/>
      <c r="F206" s="31"/>
      <c r="G206" s="103"/>
      <c r="H206" s="103"/>
      <c r="I206" s="107"/>
      <c r="J206" s="83"/>
      <c r="K206" s="83"/>
      <c r="L206" s="83"/>
      <c r="M206" s="83"/>
      <c r="N206" s="31"/>
      <c r="O206" s="103"/>
      <c r="P206" s="103"/>
      <c r="AF206" s="87"/>
    </row>
    <row r="207" spans="1:32" ht="13.2" x14ac:dyDescent="0.25">
      <c r="A207" s="9"/>
      <c r="B207" s="9"/>
      <c r="C207" s="73"/>
      <c r="D207" s="105"/>
      <c r="E207" s="49"/>
      <c r="F207" s="9"/>
      <c r="G207" s="49"/>
      <c r="H207" s="49"/>
      <c r="I207" s="107"/>
      <c r="J207" s="73"/>
      <c r="K207" s="105"/>
      <c r="L207" s="105"/>
      <c r="M207" s="49"/>
      <c r="N207" s="9"/>
      <c r="O207" s="49"/>
      <c r="P207" s="49"/>
      <c r="AF207" s="87"/>
    </row>
    <row r="208" spans="1:32" ht="13.2" x14ac:dyDescent="0.25">
      <c r="A208" s="9"/>
      <c r="B208" s="9"/>
      <c r="C208" s="88"/>
      <c r="D208" s="105"/>
      <c r="E208" s="49"/>
      <c r="F208" s="9"/>
      <c r="G208" s="49"/>
      <c r="H208" s="49"/>
      <c r="I208" s="107"/>
      <c r="J208" s="88"/>
      <c r="K208" s="105"/>
      <c r="L208" s="105"/>
      <c r="M208" s="49"/>
      <c r="N208" s="9"/>
      <c r="O208" s="49"/>
      <c r="P208" s="49"/>
      <c r="AF208" s="87"/>
    </row>
    <row r="209" spans="1:32" ht="13.2" x14ac:dyDescent="0.25">
      <c r="A209" s="9"/>
      <c r="B209" s="9"/>
      <c r="C209" s="88"/>
      <c r="D209" s="105"/>
      <c r="E209" s="49"/>
      <c r="F209" s="9"/>
      <c r="G209" s="49"/>
      <c r="H209" s="49"/>
      <c r="I209" s="107"/>
      <c r="J209" s="88"/>
      <c r="K209" s="105"/>
      <c r="L209" s="105"/>
      <c r="M209" s="49"/>
      <c r="N209" s="9"/>
      <c r="O209" s="49"/>
      <c r="P209" s="49"/>
      <c r="AF209" s="87"/>
    </row>
    <row r="210" spans="1:32" ht="13.2" x14ac:dyDescent="0.25">
      <c r="A210" s="9"/>
      <c r="B210" s="9"/>
      <c r="C210" s="88"/>
      <c r="D210" s="105"/>
      <c r="E210" s="49"/>
      <c r="F210" s="9"/>
      <c r="G210" s="49"/>
      <c r="H210" s="49"/>
      <c r="I210" s="107"/>
      <c r="J210" s="88"/>
      <c r="K210" s="105"/>
      <c r="L210" s="105"/>
      <c r="M210" s="49"/>
      <c r="N210" s="9"/>
      <c r="O210" s="49"/>
      <c r="P210" s="49"/>
      <c r="AF210" s="87"/>
    </row>
    <row r="211" spans="1:32" ht="13.2" x14ac:dyDescent="0.25">
      <c r="A211" s="9"/>
      <c r="B211" s="9"/>
      <c r="C211" s="88"/>
      <c r="D211" s="105"/>
      <c r="E211" s="49"/>
      <c r="F211" s="9"/>
      <c r="G211" s="49"/>
      <c r="H211" s="49"/>
      <c r="I211" s="107"/>
      <c r="J211" s="88"/>
      <c r="K211" s="105"/>
      <c r="L211" s="105"/>
      <c r="M211" s="49"/>
      <c r="N211" s="9"/>
      <c r="O211" s="49"/>
      <c r="P211" s="49"/>
      <c r="AF211" s="87"/>
    </row>
    <row r="212" spans="1:32" ht="13.2" x14ac:dyDescent="0.25">
      <c r="A212" s="9"/>
      <c r="B212" s="9"/>
      <c r="C212" s="88"/>
      <c r="D212" s="105"/>
      <c r="E212" s="49"/>
      <c r="F212" s="9"/>
      <c r="G212" s="49"/>
      <c r="H212" s="49"/>
      <c r="I212" s="107"/>
      <c r="J212" s="88"/>
      <c r="K212" s="105"/>
      <c r="L212" s="105"/>
      <c r="M212" s="49"/>
      <c r="N212" s="9"/>
      <c r="O212" s="49"/>
      <c r="P212" s="49"/>
      <c r="AF212" s="87"/>
    </row>
    <row r="213" spans="1:32" ht="13.2" x14ac:dyDescent="0.25">
      <c r="A213" s="9"/>
      <c r="B213" s="9"/>
      <c r="C213" s="88"/>
      <c r="D213" s="105"/>
      <c r="E213" s="49"/>
      <c r="F213" s="9"/>
      <c r="G213" s="49"/>
      <c r="H213" s="49"/>
      <c r="I213" s="107"/>
      <c r="J213" s="88"/>
      <c r="K213" s="105"/>
      <c r="L213" s="105"/>
      <c r="M213" s="49"/>
      <c r="N213" s="9"/>
      <c r="O213" s="49"/>
      <c r="P213" s="49"/>
      <c r="AF213" s="87"/>
    </row>
    <row r="214" spans="1:32" ht="13.2" x14ac:dyDescent="0.25">
      <c r="A214" s="9"/>
      <c r="B214" s="9"/>
      <c r="C214" s="88"/>
      <c r="D214" s="105"/>
      <c r="E214" s="49"/>
      <c r="F214" s="9"/>
      <c r="G214" s="49"/>
      <c r="H214" s="49"/>
      <c r="I214" s="107"/>
      <c r="J214" s="88"/>
      <c r="K214" s="105"/>
      <c r="L214" s="105"/>
      <c r="M214" s="49"/>
      <c r="N214" s="9"/>
      <c r="O214" s="49"/>
      <c r="P214" s="49"/>
      <c r="AF214" s="87"/>
    </row>
    <row r="215" spans="1:32" ht="13.2" x14ac:dyDescent="0.25">
      <c r="A215" s="9"/>
      <c r="B215" s="9"/>
      <c r="C215" s="88"/>
      <c r="D215" s="105"/>
      <c r="E215" s="49"/>
      <c r="F215" s="9"/>
      <c r="G215" s="49"/>
      <c r="H215" s="49"/>
      <c r="I215" s="107"/>
      <c r="J215" s="88"/>
      <c r="K215" s="105"/>
      <c r="L215" s="105"/>
      <c r="M215" s="49"/>
      <c r="N215" s="9"/>
      <c r="O215" s="49"/>
      <c r="P215" s="49"/>
      <c r="AF215" s="87"/>
    </row>
    <row r="216" spans="1:32" ht="13.2" x14ac:dyDescent="0.25">
      <c r="A216" s="9"/>
      <c r="B216" s="9"/>
      <c r="C216" s="88"/>
      <c r="D216" s="105"/>
      <c r="E216" s="49"/>
      <c r="F216" s="9"/>
      <c r="G216" s="49"/>
      <c r="H216" s="49"/>
      <c r="I216" s="107"/>
      <c r="J216" s="88"/>
      <c r="K216" s="105"/>
      <c r="L216" s="105"/>
      <c r="M216" s="49"/>
      <c r="N216" s="9"/>
      <c r="O216" s="49"/>
      <c r="P216" s="49"/>
      <c r="AF216" s="87"/>
    </row>
    <row r="217" spans="1:32" ht="13.2" x14ac:dyDescent="0.25">
      <c r="A217" s="9"/>
      <c r="B217" s="9"/>
      <c r="C217" s="88"/>
      <c r="D217" s="105"/>
      <c r="E217" s="49"/>
      <c r="F217" s="9"/>
      <c r="G217" s="49"/>
      <c r="H217" s="49"/>
      <c r="I217" s="107"/>
      <c r="J217" s="88"/>
      <c r="K217" s="105"/>
      <c r="L217" s="105"/>
      <c r="M217" s="49"/>
      <c r="N217" s="9"/>
      <c r="O217" s="49"/>
      <c r="P217" s="49"/>
      <c r="AF217" s="87"/>
    </row>
    <row r="218" spans="1:32" ht="13.2" x14ac:dyDescent="0.25">
      <c r="A218" s="9"/>
      <c r="B218" s="9"/>
      <c r="C218" s="88"/>
      <c r="D218" s="105"/>
      <c r="E218" s="49"/>
      <c r="F218" s="9"/>
      <c r="G218" s="49"/>
      <c r="H218" s="49"/>
      <c r="I218" s="107"/>
      <c r="J218" s="88"/>
      <c r="K218" s="105"/>
      <c r="L218" s="105"/>
      <c r="M218" s="49"/>
      <c r="N218" s="9"/>
      <c r="O218" s="49"/>
      <c r="P218" s="49"/>
      <c r="AF218" s="87"/>
    </row>
    <row r="219" spans="1:32" ht="13.2" x14ac:dyDescent="0.25">
      <c r="A219" s="9"/>
      <c r="B219" s="9"/>
      <c r="C219" s="88"/>
      <c r="D219" s="105"/>
      <c r="E219" s="49"/>
      <c r="F219" s="9"/>
      <c r="G219" s="49"/>
      <c r="H219" s="49"/>
      <c r="I219" s="107"/>
      <c r="J219" s="88"/>
      <c r="K219" s="105"/>
      <c r="L219" s="105"/>
      <c r="M219" s="49"/>
      <c r="N219" s="9"/>
      <c r="O219" s="49"/>
      <c r="P219" s="49"/>
      <c r="AF219" s="87"/>
    </row>
    <row r="220" spans="1:32" ht="13.2" x14ac:dyDescent="0.25">
      <c r="A220" s="9"/>
      <c r="B220" s="9"/>
      <c r="C220" s="88"/>
      <c r="D220" s="105"/>
      <c r="E220" s="49"/>
      <c r="F220" s="9"/>
      <c r="G220" s="49"/>
      <c r="H220" s="49"/>
      <c r="I220" s="107"/>
      <c r="J220" s="88"/>
      <c r="K220" s="105"/>
      <c r="L220" s="105"/>
      <c r="M220" s="49"/>
      <c r="N220" s="9"/>
      <c r="O220" s="49"/>
      <c r="P220" s="49"/>
      <c r="AF220" s="87"/>
    </row>
    <row r="221" spans="1:32" ht="13.2" x14ac:dyDescent="0.25">
      <c r="A221" s="9"/>
      <c r="B221" s="9"/>
      <c r="C221" s="88"/>
      <c r="D221" s="105"/>
      <c r="E221" s="49"/>
      <c r="F221" s="9"/>
      <c r="G221" s="49"/>
      <c r="H221" s="49"/>
      <c r="I221" s="107"/>
      <c r="J221" s="88"/>
      <c r="K221" s="105"/>
      <c r="L221" s="105"/>
      <c r="M221" s="49"/>
      <c r="N221" s="9"/>
      <c r="O221" s="49"/>
      <c r="P221" s="49"/>
      <c r="AF221" s="87"/>
    </row>
    <row r="222" spans="1:32" ht="13.2" x14ac:dyDescent="0.25">
      <c r="A222" s="9"/>
      <c r="B222" s="9"/>
      <c r="C222" s="88"/>
      <c r="D222" s="105"/>
      <c r="E222" s="49"/>
      <c r="F222" s="9"/>
      <c r="G222" s="49"/>
      <c r="H222" s="49"/>
      <c r="I222" s="107"/>
      <c r="J222" s="88"/>
      <c r="K222" s="105"/>
      <c r="L222" s="105"/>
      <c r="M222" s="49"/>
      <c r="N222" s="9"/>
      <c r="O222" s="49"/>
      <c r="P222" s="49"/>
      <c r="AF222" s="87"/>
    </row>
    <row r="223" spans="1:32" ht="13.2" x14ac:dyDescent="0.25">
      <c r="A223" s="9"/>
      <c r="B223" s="9"/>
      <c r="C223" s="88"/>
      <c r="D223" s="105"/>
      <c r="E223" s="49"/>
      <c r="F223" s="9"/>
      <c r="G223" s="49"/>
      <c r="H223" s="49"/>
      <c r="I223" s="107"/>
      <c r="J223" s="88"/>
      <c r="K223" s="105"/>
      <c r="L223" s="105"/>
      <c r="M223" s="49"/>
      <c r="N223" s="9"/>
      <c r="O223" s="49"/>
      <c r="P223" s="49"/>
      <c r="AF223" s="87"/>
    </row>
    <row r="224" spans="1:32" ht="13.2" x14ac:dyDescent="0.25">
      <c r="A224" s="9"/>
      <c r="B224" s="9"/>
      <c r="C224" s="88"/>
      <c r="D224" s="105"/>
      <c r="E224" s="49"/>
      <c r="F224" s="9"/>
      <c r="G224" s="49"/>
      <c r="H224" s="49"/>
      <c r="I224" s="107"/>
      <c r="J224" s="88"/>
      <c r="K224" s="105"/>
      <c r="L224" s="105"/>
      <c r="M224" s="49"/>
      <c r="N224" s="9"/>
      <c r="O224" s="49"/>
      <c r="P224" s="49"/>
      <c r="AF224" s="87"/>
    </row>
    <row r="225" spans="1:32" ht="13.2" x14ac:dyDescent="0.25">
      <c r="A225" s="9"/>
      <c r="B225" s="9"/>
      <c r="C225" s="88"/>
      <c r="D225" s="105"/>
      <c r="E225" s="49"/>
      <c r="F225" s="9"/>
      <c r="G225" s="49"/>
      <c r="H225" s="49"/>
      <c r="I225" s="107"/>
      <c r="J225" s="88"/>
      <c r="K225" s="105"/>
      <c r="L225" s="105"/>
      <c r="M225" s="49"/>
      <c r="N225" s="9"/>
      <c r="O225" s="49"/>
      <c r="P225" s="49"/>
      <c r="AF225" s="87"/>
    </row>
    <row r="226" spans="1:32" ht="13.2" x14ac:dyDescent="0.25">
      <c r="A226" s="9"/>
      <c r="B226" s="9"/>
      <c r="C226" s="88"/>
      <c r="D226" s="105"/>
      <c r="E226" s="49"/>
      <c r="F226" s="9"/>
      <c r="G226" s="49"/>
      <c r="H226" s="49"/>
      <c r="I226" s="107"/>
      <c r="J226" s="88"/>
      <c r="K226" s="105"/>
      <c r="L226" s="105"/>
      <c r="M226" s="49"/>
      <c r="N226" s="9"/>
      <c r="O226" s="49"/>
      <c r="P226" s="49"/>
      <c r="AF226" s="87"/>
    </row>
    <row r="227" spans="1:32" ht="13.2" x14ac:dyDescent="0.25">
      <c r="A227" s="9"/>
      <c r="B227" s="9"/>
      <c r="C227" s="88"/>
      <c r="D227" s="105"/>
      <c r="E227" s="49"/>
      <c r="F227" s="9"/>
      <c r="G227" s="49"/>
      <c r="H227" s="49"/>
      <c r="I227" s="107"/>
      <c r="J227" s="88"/>
      <c r="K227" s="105"/>
      <c r="L227" s="105"/>
      <c r="M227" s="49"/>
      <c r="N227" s="9"/>
      <c r="O227" s="49"/>
      <c r="P227" s="49"/>
      <c r="AF227" s="87"/>
    </row>
    <row r="228" spans="1:32" ht="13.2" x14ac:dyDescent="0.25">
      <c r="A228" s="9"/>
      <c r="B228" s="53"/>
      <c r="C228" s="53"/>
      <c r="D228" s="53"/>
      <c r="E228" s="49"/>
      <c r="F228" s="53"/>
      <c r="G228" s="53"/>
      <c r="H228" s="53"/>
      <c r="I228" s="107"/>
      <c r="J228" s="53"/>
      <c r="K228" s="53"/>
      <c r="L228" s="53"/>
      <c r="M228" s="49"/>
      <c r="N228" s="53"/>
      <c r="O228" s="53"/>
      <c r="P228" s="53"/>
      <c r="AF228" s="87"/>
    </row>
    <row r="229" spans="1:32" ht="13.2" x14ac:dyDescent="0.25">
      <c r="A229" s="9"/>
      <c r="B229" s="53"/>
      <c r="C229" s="53"/>
      <c r="D229" s="53"/>
      <c r="E229" s="49"/>
      <c r="F229" s="53"/>
      <c r="G229" s="53"/>
      <c r="H229" s="53"/>
      <c r="I229" s="107"/>
      <c r="J229" s="53"/>
      <c r="K229" s="53"/>
      <c r="L229" s="53"/>
      <c r="M229" s="49"/>
      <c r="N229" s="53"/>
      <c r="O229" s="53"/>
      <c r="P229" s="53"/>
      <c r="AF229" s="87"/>
    </row>
    <row r="230" spans="1:32" ht="13.2" x14ac:dyDescent="0.25">
      <c r="A230" s="9"/>
      <c r="B230" s="53"/>
      <c r="C230" s="53"/>
      <c r="D230" s="53"/>
      <c r="E230" s="49"/>
      <c r="F230" s="53"/>
      <c r="G230" s="53"/>
      <c r="H230" s="53"/>
      <c r="I230" s="107"/>
      <c r="J230" s="53"/>
      <c r="K230" s="53"/>
      <c r="L230" s="53"/>
      <c r="M230" s="49"/>
      <c r="N230" s="53"/>
      <c r="O230" s="53"/>
      <c r="P230" s="53"/>
      <c r="AF230" s="87"/>
    </row>
    <row r="231" spans="1:32" x14ac:dyDescent="0.2">
      <c r="A231" s="106"/>
      <c r="B231" s="106"/>
      <c r="C231" s="73"/>
      <c r="D231" s="73"/>
      <c r="E231" s="73"/>
      <c r="F231" s="106"/>
      <c r="G231" s="72"/>
      <c r="H231" s="72"/>
      <c r="I231" s="107"/>
      <c r="J231" s="73"/>
      <c r="K231" s="73"/>
      <c r="L231" s="73"/>
      <c r="M231" s="73"/>
      <c r="N231" s="106"/>
      <c r="O231" s="72"/>
      <c r="P231" s="72"/>
      <c r="AF231" s="87"/>
    </row>
    <row r="232" spans="1:32" x14ac:dyDescent="0.2">
      <c r="A232" s="106"/>
      <c r="B232" s="106"/>
      <c r="C232" s="73"/>
      <c r="D232" s="73"/>
      <c r="E232" s="73"/>
      <c r="F232" s="106"/>
      <c r="G232" s="72"/>
      <c r="H232" s="72"/>
      <c r="I232" s="107"/>
      <c r="J232" s="73"/>
      <c r="K232" s="73"/>
      <c r="L232" s="73"/>
      <c r="M232" s="73"/>
      <c r="N232" s="106"/>
      <c r="O232" s="72"/>
      <c r="P232" s="72"/>
      <c r="AF232" s="87"/>
    </row>
    <row r="233" spans="1:32" x14ac:dyDescent="0.2">
      <c r="G233" s="16"/>
      <c r="H233" s="16"/>
      <c r="I233" s="85"/>
      <c r="O233" s="16"/>
      <c r="P233" s="16"/>
      <c r="AF233" s="87"/>
    </row>
    <row r="234" spans="1:32" x14ac:dyDescent="0.2">
      <c r="G234" s="16"/>
      <c r="H234" s="16"/>
      <c r="I234" s="85"/>
      <c r="O234" s="16"/>
      <c r="P234" s="16"/>
      <c r="AF234" s="87"/>
    </row>
    <row r="235" spans="1:32" x14ac:dyDescent="0.2">
      <c r="G235" s="16"/>
      <c r="H235" s="16"/>
      <c r="I235" s="85"/>
      <c r="O235" s="16"/>
      <c r="P235" s="16"/>
      <c r="AF235" s="87"/>
    </row>
    <row r="236" spans="1:32" x14ac:dyDescent="0.2">
      <c r="G236" s="16"/>
      <c r="H236" s="16"/>
      <c r="I236" s="85"/>
      <c r="O236" s="16"/>
      <c r="P236" s="16"/>
      <c r="AF236" s="87"/>
    </row>
    <row r="237" spans="1:32" x14ac:dyDescent="0.2">
      <c r="G237" s="16"/>
      <c r="H237" s="16"/>
      <c r="I237" s="85"/>
      <c r="O237" s="16"/>
      <c r="P237" s="16"/>
      <c r="AF237" s="87"/>
    </row>
    <row r="238" spans="1:32" x14ac:dyDescent="0.2">
      <c r="G238" s="16"/>
      <c r="H238" s="16"/>
      <c r="I238" s="85"/>
      <c r="O238" s="16"/>
      <c r="P238" s="16"/>
      <c r="AF238" s="87"/>
    </row>
    <row r="239" spans="1:32" x14ac:dyDescent="0.2">
      <c r="G239" s="16"/>
      <c r="H239" s="16"/>
      <c r="I239" s="85"/>
      <c r="O239" s="16"/>
      <c r="P239" s="16"/>
      <c r="AF239" s="87"/>
    </row>
    <row r="240" spans="1:32" x14ac:dyDescent="0.2">
      <c r="G240" s="16"/>
      <c r="H240" s="16"/>
      <c r="I240" s="85"/>
      <c r="O240" s="16"/>
      <c r="P240" s="16"/>
      <c r="AF240" s="87"/>
    </row>
    <row r="241" spans="1:32" x14ac:dyDescent="0.2">
      <c r="G241" s="16"/>
      <c r="H241" s="16"/>
      <c r="I241" s="85"/>
      <c r="O241" s="16"/>
      <c r="P241" s="16"/>
      <c r="AF241" s="87"/>
    </row>
    <row r="242" spans="1:32" x14ac:dyDescent="0.2">
      <c r="G242" s="16"/>
      <c r="H242" s="16"/>
      <c r="I242" s="85"/>
      <c r="O242" s="16"/>
      <c r="P242" s="16"/>
      <c r="AF242" s="87"/>
    </row>
    <row r="243" spans="1:32" x14ac:dyDescent="0.2">
      <c r="G243" s="16"/>
      <c r="H243" s="16"/>
      <c r="I243" s="85"/>
      <c r="O243" s="16"/>
      <c r="P243" s="16"/>
      <c r="AF243" s="87"/>
    </row>
    <row r="244" spans="1:32" x14ac:dyDescent="0.2">
      <c r="G244" s="16"/>
      <c r="H244" s="16"/>
      <c r="I244" s="85"/>
      <c r="O244" s="16"/>
      <c r="P244" s="16"/>
      <c r="AF244" s="87"/>
    </row>
    <row r="245" spans="1:32" x14ac:dyDescent="0.2">
      <c r="G245" s="16"/>
      <c r="H245" s="16"/>
      <c r="I245" s="85"/>
      <c r="O245" s="16"/>
      <c r="P245" s="16"/>
      <c r="AF245" s="87"/>
    </row>
    <row r="246" spans="1:32" x14ac:dyDescent="0.2">
      <c r="G246" s="16"/>
      <c r="H246" s="16"/>
      <c r="I246" s="85"/>
      <c r="O246" s="16"/>
      <c r="P246" s="16"/>
      <c r="AF246" s="87"/>
    </row>
    <row r="247" spans="1:32" x14ac:dyDescent="0.2">
      <c r="G247" s="16"/>
      <c r="H247" s="16"/>
      <c r="I247" s="85"/>
      <c r="O247" s="16"/>
      <c r="P247" s="16"/>
      <c r="AF247" s="87"/>
    </row>
    <row r="248" spans="1:32" x14ac:dyDescent="0.2">
      <c r="G248" s="16"/>
      <c r="H248" s="16"/>
      <c r="I248" s="85"/>
      <c r="O248" s="16"/>
      <c r="P248" s="16"/>
      <c r="AF248" s="87"/>
    </row>
    <row r="249" spans="1:32" x14ac:dyDescent="0.2">
      <c r="G249" s="16"/>
      <c r="H249" s="16"/>
      <c r="I249" s="85"/>
      <c r="O249" s="16"/>
      <c r="P249" s="16"/>
      <c r="AF249" s="87"/>
    </row>
    <row r="250" spans="1:32" x14ac:dyDescent="0.2">
      <c r="G250" s="16"/>
      <c r="H250" s="16"/>
      <c r="I250" s="85"/>
      <c r="O250" s="16"/>
      <c r="P250" s="16"/>
    </row>
    <row r="251" spans="1:32" s="106" customFormat="1" x14ac:dyDescent="0.2">
      <c r="A251" s="12"/>
      <c r="B251" s="12"/>
      <c r="C251" s="13"/>
      <c r="D251" s="13"/>
      <c r="E251" s="13"/>
      <c r="F251" s="12"/>
      <c r="G251" s="16"/>
      <c r="H251" s="16"/>
      <c r="I251" s="85"/>
      <c r="J251" s="13"/>
      <c r="K251" s="13"/>
      <c r="L251" s="13"/>
      <c r="M251" s="13"/>
      <c r="N251" s="12"/>
      <c r="O251" s="16"/>
      <c r="P251" s="16"/>
      <c r="R251" s="12"/>
      <c r="S251" s="12"/>
      <c r="T251" s="12"/>
      <c r="U251" s="12"/>
      <c r="V251" s="12"/>
      <c r="W251" s="12"/>
      <c r="X251" s="12"/>
      <c r="Y251" s="12"/>
      <c r="Z251" s="12"/>
      <c r="AA251" s="12"/>
      <c r="AB251" s="12"/>
      <c r="AC251" s="12"/>
      <c r="AD251" s="12"/>
      <c r="AE251" s="12"/>
      <c r="AF251" s="12"/>
    </row>
    <row r="252" spans="1:32" s="106" customFormat="1" x14ac:dyDescent="0.2">
      <c r="A252" s="12"/>
      <c r="B252" s="12"/>
      <c r="C252" s="13"/>
      <c r="D252" s="13"/>
      <c r="E252" s="13"/>
      <c r="F252" s="12"/>
      <c r="G252" s="16"/>
      <c r="H252" s="16"/>
      <c r="I252" s="85"/>
      <c r="J252" s="13"/>
      <c r="K252" s="13"/>
      <c r="L252" s="13"/>
      <c r="M252" s="13"/>
      <c r="N252" s="12"/>
      <c r="O252" s="16"/>
      <c r="P252" s="16"/>
      <c r="R252" s="12"/>
      <c r="S252" s="12"/>
      <c r="T252" s="12"/>
      <c r="U252" s="12"/>
      <c r="V252" s="12"/>
      <c r="W252" s="12"/>
      <c r="X252" s="12"/>
      <c r="Y252" s="12"/>
      <c r="Z252" s="12"/>
      <c r="AA252" s="12"/>
      <c r="AB252" s="12"/>
      <c r="AC252" s="12"/>
      <c r="AD252" s="12"/>
      <c r="AE252" s="12"/>
      <c r="AF252" s="12"/>
    </row>
    <row r="253" spans="1:32" s="106" customFormat="1" x14ac:dyDescent="0.2">
      <c r="A253" s="12"/>
      <c r="B253" s="12"/>
      <c r="C253" s="13"/>
      <c r="D253" s="13"/>
      <c r="E253" s="13"/>
      <c r="F253" s="12"/>
      <c r="G253" s="16"/>
      <c r="H253" s="16"/>
      <c r="I253" s="16"/>
      <c r="J253" s="13"/>
      <c r="K253" s="13"/>
      <c r="L253" s="13"/>
      <c r="M253" s="13"/>
      <c r="N253" s="12"/>
      <c r="O253" s="16"/>
      <c r="P253" s="16"/>
      <c r="R253" s="12"/>
      <c r="S253" s="12"/>
      <c r="T253" s="12"/>
      <c r="U253" s="12"/>
      <c r="V253" s="12"/>
      <c r="W253" s="12"/>
      <c r="X253" s="12"/>
      <c r="Y253" s="12"/>
      <c r="Z253" s="12"/>
      <c r="AA253" s="12"/>
      <c r="AB253" s="12"/>
      <c r="AC253" s="12"/>
      <c r="AD253" s="12"/>
      <c r="AE253" s="12"/>
      <c r="AF253" s="12"/>
    </row>
    <row r="254" spans="1:32" s="106" customFormat="1" x14ac:dyDescent="0.2">
      <c r="A254" s="12"/>
      <c r="B254" s="12"/>
      <c r="C254" s="13"/>
      <c r="D254" s="13"/>
      <c r="E254" s="13"/>
      <c r="F254" s="12"/>
      <c r="G254" s="16"/>
      <c r="H254" s="16"/>
      <c r="I254" s="16"/>
      <c r="J254" s="13"/>
      <c r="K254" s="13"/>
      <c r="L254" s="13"/>
      <c r="M254" s="13"/>
      <c r="N254" s="12"/>
      <c r="O254" s="16"/>
      <c r="P254" s="16"/>
      <c r="R254" s="12"/>
      <c r="S254" s="12"/>
      <c r="T254" s="12"/>
      <c r="U254" s="12"/>
      <c r="V254" s="12"/>
      <c r="W254" s="12"/>
      <c r="X254" s="12"/>
      <c r="Y254" s="12"/>
      <c r="Z254" s="12"/>
      <c r="AA254" s="12"/>
      <c r="AB254" s="12"/>
      <c r="AC254" s="12"/>
      <c r="AD254" s="12"/>
      <c r="AE254" s="12"/>
      <c r="AF254" s="12"/>
    </row>
    <row r="255" spans="1:32" s="106" customFormat="1" x14ac:dyDescent="0.2">
      <c r="A255" s="12"/>
      <c r="B255" s="12"/>
      <c r="C255" s="13"/>
      <c r="D255" s="13"/>
      <c r="E255" s="13"/>
      <c r="F255" s="12"/>
      <c r="G255" s="16"/>
      <c r="H255" s="16"/>
      <c r="I255" s="16"/>
      <c r="J255" s="13"/>
      <c r="K255" s="13"/>
      <c r="L255" s="13"/>
      <c r="M255" s="13"/>
      <c r="N255" s="12"/>
      <c r="O255" s="16"/>
      <c r="P255" s="16"/>
      <c r="R255" s="12"/>
      <c r="S255" s="12"/>
      <c r="T255" s="12"/>
      <c r="U255" s="12"/>
      <c r="V255" s="12"/>
      <c r="W255" s="12"/>
      <c r="X255" s="12"/>
      <c r="Y255" s="12"/>
      <c r="Z255" s="12"/>
      <c r="AA255" s="12"/>
      <c r="AB255" s="12"/>
      <c r="AC255" s="12"/>
      <c r="AD255" s="12"/>
      <c r="AE255" s="12"/>
      <c r="AF255" s="12"/>
    </row>
    <row r="256" spans="1:32" s="106" customFormat="1" x14ac:dyDescent="0.2">
      <c r="A256" s="12"/>
      <c r="B256" s="12"/>
      <c r="C256" s="13"/>
      <c r="D256" s="13"/>
      <c r="E256" s="13"/>
      <c r="F256" s="12"/>
      <c r="G256" s="16"/>
      <c r="H256" s="16"/>
      <c r="I256" s="16"/>
      <c r="J256" s="13"/>
      <c r="K256" s="13"/>
      <c r="L256" s="13"/>
      <c r="M256" s="13"/>
      <c r="N256" s="12"/>
      <c r="O256" s="16"/>
      <c r="P256" s="16"/>
      <c r="R256" s="12"/>
      <c r="S256" s="12"/>
      <c r="T256" s="12"/>
      <c r="U256" s="12"/>
      <c r="V256" s="12"/>
      <c r="W256" s="12"/>
      <c r="X256" s="12"/>
      <c r="Y256" s="12"/>
      <c r="Z256" s="12"/>
      <c r="AA256" s="12"/>
      <c r="AB256" s="12"/>
      <c r="AC256" s="12"/>
      <c r="AD256" s="12"/>
      <c r="AE256" s="12"/>
      <c r="AF256" s="12"/>
    </row>
    <row r="257" spans="1:32" s="106" customFormat="1" x14ac:dyDescent="0.2">
      <c r="A257" s="12"/>
      <c r="B257" s="12"/>
      <c r="C257" s="13"/>
      <c r="D257" s="13"/>
      <c r="E257" s="13"/>
      <c r="F257" s="12"/>
      <c r="G257" s="16"/>
      <c r="H257" s="16"/>
      <c r="I257" s="16"/>
      <c r="J257" s="13"/>
      <c r="K257" s="13"/>
      <c r="L257" s="13"/>
      <c r="M257" s="13"/>
      <c r="N257" s="12"/>
      <c r="O257" s="16"/>
      <c r="P257" s="16"/>
      <c r="R257" s="12"/>
      <c r="S257" s="12"/>
      <c r="T257" s="12"/>
      <c r="U257" s="12"/>
      <c r="V257" s="12"/>
      <c r="W257" s="12"/>
      <c r="X257" s="12"/>
      <c r="Y257" s="12"/>
      <c r="Z257" s="12"/>
      <c r="AA257" s="12"/>
      <c r="AB257" s="12"/>
      <c r="AC257" s="12"/>
      <c r="AD257" s="12"/>
      <c r="AE257" s="12"/>
      <c r="AF257" s="12"/>
    </row>
    <row r="258" spans="1:32" s="106" customFormat="1" x14ac:dyDescent="0.2">
      <c r="A258" s="12"/>
      <c r="B258" s="12"/>
      <c r="C258" s="13"/>
      <c r="D258" s="13"/>
      <c r="E258" s="13"/>
      <c r="F258" s="12"/>
      <c r="G258" s="16"/>
      <c r="H258" s="16"/>
      <c r="I258" s="16"/>
      <c r="J258" s="13"/>
      <c r="K258" s="13"/>
      <c r="L258" s="13"/>
      <c r="M258" s="13"/>
      <c r="N258" s="12"/>
      <c r="O258" s="16"/>
      <c r="P258" s="16"/>
      <c r="R258" s="12"/>
      <c r="S258" s="12"/>
      <c r="T258" s="12"/>
      <c r="U258" s="12"/>
      <c r="V258" s="12"/>
      <c r="W258" s="12"/>
      <c r="X258" s="12"/>
      <c r="Y258" s="12"/>
      <c r="Z258" s="12"/>
      <c r="AA258" s="12"/>
      <c r="AB258" s="12"/>
      <c r="AC258" s="12"/>
      <c r="AD258" s="12"/>
      <c r="AE258" s="12"/>
      <c r="AF258" s="12"/>
    </row>
    <row r="259" spans="1:32" s="106" customFormat="1" x14ac:dyDescent="0.2">
      <c r="A259" s="12"/>
      <c r="B259" s="12"/>
      <c r="C259" s="13"/>
      <c r="D259" s="13"/>
      <c r="E259" s="13"/>
      <c r="F259" s="12"/>
      <c r="G259" s="16"/>
      <c r="H259" s="16"/>
      <c r="I259" s="16"/>
      <c r="J259" s="13"/>
      <c r="K259" s="13"/>
      <c r="L259" s="13"/>
      <c r="M259" s="13"/>
      <c r="N259" s="12"/>
      <c r="O259" s="16"/>
      <c r="P259" s="16"/>
      <c r="R259" s="12"/>
      <c r="S259" s="12"/>
      <c r="T259" s="12"/>
      <c r="U259" s="12"/>
      <c r="V259" s="12"/>
      <c r="W259" s="12"/>
      <c r="X259" s="12"/>
      <c r="Y259" s="12"/>
      <c r="Z259" s="12"/>
      <c r="AA259" s="12"/>
      <c r="AB259" s="12"/>
      <c r="AC259" s="12"/>
      <c r="AD259" s="12"/>
      <c r="AE259" s="12"/>
      <c r="AF259" s="12"/>
    </row>
    <row r="260" spans="1:32" s="106" customFormat="1" x14ac:dyDescent="0.2">
      <c r="A260" s="12"/>
      <c r="B260" s="12"/>
      <c r="C260" s="13"/>
      <c r="D260" s="13"/>
      <c r="E260" s="13"/>
      <c r="F260" s="12"/>
      <c r="G260" s="16"/>
      <c r="H260" s="16"/>
      <c r="I260" s="16"/>
      <c r="J260" s="13"/>
      <c r="K260" s="13"/>
      <c r="L260" s="13"/>
      <c r="M260" s="13"/>
      <c r="N260" s="12"/>
      <c r="O260" s="16"/>
      <c r="P260" s="16"/>
      <c r="R260" s="12"/>
      <c r="S260" s="12"/>
      <c r="T260" s="12"/>
      <c r="U260" s="12"/>
      <c r="V260" s="12"/>
      <c r="W260" s="12"/>
      <c r="X260" s="12"/>
      <c r="Y260" s="12"/>
      <c r="Z260" s="12"/>
      <c r="AA260" s="12"/>
      <c r="AB260" s="12"/>
      <c r="AC260" s="12"/>
      <c r="AD260" s="12"/>
      <c r="AE260" s="12"/>
      <c r="AF260" s="12"/>
    </row>
    <row r="261" spans="1:32" s="106" customFormat="1" x14ac:dyDescent="0.2">
      <c r="A261" s="12"/>
      <c r="B261" s="12"/>
      <c r="C261" s="13"/>
      <c r="D261" s="13"/>
      <c r="E261" s="13"/>
      <c r="F261" s="12"/>
      <c r="G261" s="16"/>
      <c r="H261" s="16"/>
      <c r="I261" s="16"/>
      <c r="J261" s="13"/>
      <c r="K261" s="13"/>
      <c r="L261" s="13"/>
      <c r="M261" s="13"/>
      <c r="N261" s="12"/>
      <c r="O261" s="16"/>
      <c r="P261" s="16"/>
      <c r="R261" s="12"/>
      <c r="S261" s="12"/>
      <c r="T261" s="12"/>
      <c r="U261" s="12"/>
      <c r="V261" s="12"/>
      <c r="W261" s="12"/>
      <c r="X261" s="12"/>
      <c r="Y261" s="12"/>
      <c r="Z261" s="12"/>
      <c r="AA261" s="12"/>
      <c r="AB261" s="12"/>
      <c r="AC261" s="12"/>
      <c r="AD261" s="12"/>
      <c r="AE261" s="12"/>
      <c r="AF261" s="12"/>
    </row>
    <row r="262" spans="1:32" s="106" customFormat="1" x14ac:dyDescent="0.2">
      <c r="A262" s="12"/>
      <c r="B262" s="12"/>
      <c r="C262" s="13"/>
      <c r="D262" s="13"/>
      <c r="E262" s="13"/>
      <c r="F262" s="12"/>
      <c r="G262" s="16"/>
      <c r="H262" s="16"/>
      <c r="I262" s="16"/>
      <c r="J262" s="13"/>
      <c r="K262" s="13"/>
      <c r="L262" s="13"/>
      <c r="M262" s="13"/>
      <c r="N262" s="12"/>
      <c r="O262" s="16"/>
      <c r="P262" s="16"/>
      <c r="R262" s="12"/>
      <c r="S262" s="12"/>
      <c r="T262" s="12"/>
      <c r="U262" s="12"/>
      <c r="V262" s="12"/>
      <c r="W262" s="12"/>
      <c r="X262" s="12"/>
      <c r="Y262" s="12"/>
      <c r="Z262" s="12"/>
      <c r="AA262" s="12"/>
      <c r="AB262" s="12"/>
      <c r="AC262" s="12"/>
      <c r="AD262" s="12"/>
      <c r="AE262" s="12"/>
      <c r="AF262" s="12"/>
    </row>
    <row r="263" spans="1:32" s="106" customFormat="1" x14ac:dyDescent="0.2">
      <c r="A263" s="12"/>
      <c r="B263" s="12"/>
      <c r="C263" s="13"/>
      <c r="D263" s="13"/>
      <c r="E263" s="13"/>
      <c r="F263" s="12"/>
      <c r="G263" s="16"/>
      <c r="H263" s="16"/>
      <c r="I263" s="16"/>
      <c r="J263" s="13"/>
      <c r="K263" s="13"/>
      <c r="L263" s="13"/>
      <c r="M263" s="13"/>
      <c r="N263" s="12"/>
      <c r="O263" s="16"/>
      <c r="P263" s="16"/>
      <c r="R263" s="12"/>
      <c r="S263" s="12"/>
      <c r="T263" s="12"/>
      <c r="U263" s="12"/>
      <c r="V263" s="12"/>
      <c r="W263" s="12"/>
      <c r="X263" s="12"/>
      <c r="Y263" s="12"/>
      <c r="Z263" s="12"/>
      <c r="AA263" s="12"/>
      <c r="AB263" s="12"/>
      <c r="AC263" s="12"/>
      <c r="AD263" s="12"/>
      <c r="AE263" s="12"/>
      <c r="AF263" s="12"/>
    </row>
    <row r="264" spans="1:32" s="106" customFormat="1" x14ac:dyDescent="0.2">
      <c r="A264" s="12"/>
      <c r="B264" s="12"/>
      <c r="C264" s="13"/>
      <c r="D264" s="13"/>
      <c r="E264" s="13"/>
      <c r="F264" s="12"/>
      <c r="G264" s="16"/>
      <c r="H264" s="16"/>
      <c r="I264" s="16"/>
      <c r="J264" s="13"/>
      <c r="K264" s="13"/>
      <c r="L264" s="13"/>
      <c r="M264" s="13"/>
      <c r="N264" s="12"/>
      <c r="O264" s="16"/>
      <c r="P264" s="16"/>
      <c r="R264" s="12"/>
      <c r="S264" s="12"/>
      <c r="T264" s="12"/>
      <c r="U264" s="12"/>
      <c r="V264" s="12"/>
      <c r="W264" s="12"/>
      <c r="X264" s="12"/>
      <c r="Y264" s="12"/>
      <c r="Z264" s="12"/>
      <c r="AA264" s="12"/>
      <c r="AB264" s="12"/>
      <c r="AC264" s="12"/>
      <c r="AD264" s="12"/>
      <c r="AE264" s="12"/>
      <c r="AF264" s="12"/>
    </row>
    <row r="265" spans="1:32" s="106" customFormat="1" x14ac:dyDescent="0.2">
      <c r="A265" s="12"/>
      <c r="B265" s="12"/>
      <c r="C265" s="13"/>
      <c r="D265" s="13"/>
      <c r="E265" s="13"/>
      <c r="F265" s="12"/>
      <c r="G265" s="16"/>
      <c r="H265" s="16"/>
      <c r="I265" s="16"/>
      <c r="J265" s="13"/>
      <c r="K265" s="13"/>
      <c r="L265" s="13"/>
      <c r="M265" s="13"/>
      <c r="N265" s="12"/>
      <c r="O265" s="16"/>
      <c r="P265" s="16"/>
      <c r="R265" s="12"/>
      <c r="S265" s="12"/>
      <c r="T265" s="12"/>
      <c r="U265" s="12"/>
      <c r="V265" s="12"/>
      <c r="W265" s="12"/>
      <c r="X265" s="12"/>
      <c r="Y265" s="12"/>
      <c r="Z265" s="12"/>
      <c r="AA265" s="12"/>
      <c r="AB265" s="12"/>
      <c r="AC265" s="12"/>
      <c r="AD265" s="12"/>
      <c r="AE265" s="12"/>
      <c r="AF265" s="12"/>
    </row>
    <row r="266" spans="1:32" s="106" customFormat="1" x14ac:dyDescent="0.2">
      <c r="A266" s="12"/>
      <c r="B266" s="12"/>
      <c r="C266" s="13"/>
      <c r="D266" s="13"/>
      <c r="E266" s="13"/>
      <c r="F266" s="12"/>
      <c r="G266" s="16"/>
      <c r="H266" s="16"/>
      <c r="I266" s="16"/>
      <c r="J266" s="13"/>
      <c r="K266" s="13"/>
      <c r="L266" s="13"/>
      <c r="M266" s="13"/>
      <c r="N266" s="12"/>
      <c r="O266" s="16"/>
      <c r="P266" s="16"/>
      <c r="R266" s="12"/>
      <c r="S266" s="12"/>
      <c r="T266" s="12"/>
      <c r="U266" s="12"/>
      <c r="V266" s="12"/>
      <c r="W266" s="12"/>
      <c r="X266" s="12"/>
      <c r="Y266" s="12"/>
      <c r="Z266" s="12"/>
      <c r="AA266" s="12"/>
      <c r="AB266" s="12"/>
      <c r="AC266" s="12"/>
      <c r="AD266" s="12"/>
      <c r="AE266" s="12"/>
      <c r="AF266" s="12"/>
    </row>
    <row r="267" spans="1:32" s="106" customFormat="1" x14ac:dyDescent="0.2">
      <c r="A267" s="12"/>
      <c r="B267" s="12"/>
      <c r="C267" s="13"/>
      <c r="D267" s="13"/>
      <c r="E267" s="13"/>
      <c r="F267" s="12"/>
      <c r="G267" s="16"/>
      <c r="H267" s="16"/>
      <c r="I267" s="16"/>
      <c r="J267" s="13"/>
      <c r="K267" s="13"/>
      <c r="L267" s="13"/>
      <c r="M267" s="13"/>
      <c r="N267" s="12"/>
      <c r="O267" s="16"/>
      <c r="P267" s="16"/>
      <c r="R267" s="12"/>
      <c r="S267" s="12"/>
      <c r="T267" s="12"/>
      <c r="U267" s="12"/>
      <c r="V267" s="12"/>
      <c r="W267" s="12"/>
      <c r="X267" s="12"/>
      <c r="Y267" s="12"/>
      <c r="Z267" s="12"/>
      <c r="AA267" s="12"/>
      <c r="AB267" s="12"/>
      <c r="AC267" s="12"/>
      <c r="AD267" s="12"/>
      <c r="AE267" s="12"/>
      <c r="AF267" s="12"/>
    </row>
    <row r="268" spans="1:32" s="106" customFormat="1" x14ac:dyDescent="0.2">
      <c r="A268" s="12"/>
      <c r="B268" s="12"/>
      <c r="C268" s="13"/>
      <c r="D268" s="13"/>
      <c r="E268" s="13"/>
      <c r="F268" s="12"/>
      <c r="G268" s="16"/>
      <c r="H268" s="16"/>
      <c r="I268" s="16"/>
      <c r="J268" s="13"/>
      <c r="K268" s="13"/>
      <c r="L268" s="13"/>
      <c r="M268" s="13"/>
      <c r="N268" s="12"/>
      <c r="O268" s="16"/>
      <c r="P268" s="16"/>
      <c r="R268" s="12"/>
      <c r="S268" s="12"/>
      <c r="T268" s="12"/>
      <c r="U268" s="12"/>
      <c r="V268" s="12"/>
      <c r="W268" s="12"/>
      <c r="X268" s="12"/>
      <c r="Y268" s="12"/>
      <c r="Z268" s="12"/>
      <c r="AA268" s="12"/>
      <c r="AB268" s="12"/>
      <c r="AC268" s="12"/>
      <c r="AD268" s="12"/>
      <c r="AE268" s="12"/>
      <c r="AF268" s="12"/>
    </row>
    <row r="269" spans="1:32" s="106" customFormat="1" x14ac:dyDescent="0.2">
      <c r="A269" s="12"/>
      <c r="B269" s="12"/>
      <c r="C269" s="13"/>
      <c r="D269" s="13"/>
      <c r="E269" s="13"/>
      <c r="F269" s="12"/>
      <c r="G269" s="16"/>
      <c r="H269" s="16"/>
      <c r="I269" s="16"/>
      <c r="J269" s="13"/>
      <c r="K269" s="13"/>
      <c r="L269" s="13"/>
      <c r="M269" s="13"/>
      <c r="N269" s="12"/>
      <c r="O269" s="16"/>
      <c r="P269" s="16"/>
      <c r="R269" s="12"/>
      <c r="S269" s="12"/>
      <c r="T269" s="12"/>
      <c r="U269" s="12"/>
      <c r="V269" s="12"/>
      <c r="W269" s="12"/>
      <c r="X269" s="12"/>
      <c r="Y269" s="12"/>
      <c r="Z269" s="12"/>
      <c r="AA269" s="12"/>
      <c r="AB269" s="12"/>
      <c r="AC269" s="12"/>
      <c r="AD269" s="12"/>
      <c r="AE269" s="12"/>
      <c r="AF269" s="12"/>
    </row>
    <row r="270" spans="1:32" s="106" customFormat="1" x14ac:dyDescent="0.2">
      <c r="A270" s="12"/>
      <c r="B270" s="12"/>
      <c r="C270" s="13"/>
      <c r="D270" s="13"/>
      <c r="E270" s="13"/>
      <c r="F270" s="12"/>
      <c r="G270" s="16"/>
      <c r="H270" s="16"/>
      <c r="I270" s="16"/>
      <c r="J270" s="13"/>
      <c r="K270" s="13"/>
      <c r="L270" s="13"/>
      <c r="M270" s="13"/>
      <c r="N270" s="12"/>
      <c r="O270" s="16"/>
      <c r="P270" s="16"/>
      <c r="R270" s="12"/>
      <c r="S270" s="12"/>
      <c r="T270" s="12"/>
      <c r="U270" s="12"/>
      <c r="V270" s="12"/>
      <c r="W270" s="12"/>
      <c r="X270" s="12"/>
      <c r="Y270" s="12"/>
      <c r="Z270" s="12"/>
      <c r="AA270" s="12"/>
      <c r="AB270" s="12"/>
      <c r="AC270" s="12"/>
      <c r="AD270" s="12"/>
      <c r="AE270" s="12"/>
      <c r="AF270" s="12"/>
    </row>
    <row r="271" spans="1:32" s="106" customFormat="1" x14ac:dyDescent="0.2">
      <c r="A271" s="12"/>
      <c r="B271" s="12"/>
      <c r="C271" s="13"/>
      <c r="D271" s="13"/>
      <c r="E271" s="13"/>
      <c r="F271" s="12"/>
      <c r="G271" s="16"/>
      <c r="H271" s="16"/>
      <c r="I271" s="16"/>
      <c r="J271" s="13"/>
      <c r="K271" s="13"/>
      <c r="L271" s="13"/>
      <c r="M271" s="13"/>
      <c r="N271" s="12"/>
      <c r="O271" s="16"/>
      <c r="P271" s="16"/>
      <c r="R271" s="12"/>
      <c r="S271" s="12"/>
      <c r="T271" s="12"/>
      <c r="U271" s="12"/>
      <c r="V271" s="12"/>
      <c r="W271" s="12"/>
      <c r="X271" s="12"/>
      <c r="Y271" s="12"/>
      <c r="Z271" s="12"/>
      <c r="AA271" s="12"/>
      <c r="AB271" s="12"/>
      <c r="AC271" s="12"/>
      <c r="AD271" s="12"/>
      <c r="AE271" s="12"/>
      <c r="AF271" s="12"/>
    </row>
    <row r="272" spans="1:32" s="106" customFormat="1" x14ac:dyDescent="0.2">
      <c r="A272" s="12"/>
      <c r="B272" s="12"/>
      <c r="C272" s="13"/>
      <c r="D272" s="13"/>
      <c r="E272" s="13"/>
      <c r="F272" s="12"/>
      <c r="G272" s="16"/>
      <c r="H272" s="16"/>
      <c r="I272" s="16"/>
      <c r="J272" s="13"/>
      <c r="K272" s="13"/>
      <c r="L272" s="13"/>
      <c r="M272" s="13"/>
      <c r="N272" s="12"/>
      <c r="O272" s="16"/>
      <c r="P272" s="16"/>
      <c r="R272" s="12"/>
      <c r="S272" s="12"/>
      <c r="T272" s="12"/>
      <c r="U272" s="12"/>
      <c r="V272" s="12"/>
      <c r="W272" s="12"/>
      <c r="X272" s="12"/>
      <c r="Y272" s="12"/>
      <c r="Z272" s="12"/>
      <c r="AA272" s="12"/>
      <c r="AB272" s="12"/>
      <c r="AC272" s="12"/>
      <c r="AD272" s="12"/>
      <c r="AE272" s="12"/>
      <c r="AF272" s="12"/>
    </row>
    <row r="273" spans="1:32" s="106" customFormat="1" x14ac:dyDescent="0.2">
      <c r="A273" s="12"/>
      <c r="B273" s="12"/>
      <c r="C273" s="13"/>
      <c r="D273" s="13"/>
      <c r="E273" s="13"/>
      <c r="F273" s="12"/>
      <c r="G273" s="16"/>
      <c r="H273" s="16"/>
      <c r="I273" s="16"/>
      <c r="J273" s="13"/>
      <c r="K273" s="13"/>
      <c r="L273" s="13"/>
      <c r="M273" s="13"/>
      <c r="N273" s="12"/>
      <c r="O273" s="16"/>
      <c r="P273" s="16"/>
      <c r="R273" s="12"/>
      <c r="S273" s="12"/>
      <c r="T273" s="12"/>
      <c r="U273" s="12"/>
      <c r="V273" s="12"/>
      <c r="W273" s="12"/>
      <c r="X273" s="12"/>
      <c r="Y273" s="12"/>
      <c r="Z273" s="12"/>
      <c r="AA273" s="12"/>
      <c r="AB273" s="12"/>
      <c r="AC273" s="12"/>
      <c r="AD273" s="12"/>
      <c r="AE273" s="12"/>
      <c r="AF273" s="12"/>
    </row>
    <row r="274" spans="1:32" s="106" customFormat="1" x14ac:dyDescent="0.2">
      <c r="A274" s="12"/>
      <c r="B274" s="12"/>
      <c r="C274" s="13"/>
      <c r="D274" s="13"/>
      <c r="E274" s="13"/>
      <c r="F274" s="12"/>
      <c r="G274" s="16"/>
      <c r="H274" s="16"/>
      <c r="I274" s="16"/>
      <c r="J274" s="13"/>
      <c r="K274" s="13"/>
      <c r="L274" s="13"/>
      <c r="M274" s="13"/>
      <c r="N274" s="12"/>
      <c r="O274" s="16"/>
      <c r="P274" s="16"/>
      <c r="R274" s="12"/>
      <c r="S274" s="12"/>
      <c r="T274" s="12"/>
      <c r="U274" s="12"/>
      <c r="V274" s="12"/>
      <c r="W274" s="12"/>
      <c r="X274" s="12"/>
      <c r="Y274" s="12"/>
      <c r="Z274" s="12"/>
      <c r="AA274" s="12"/>
      <c r="AB274" s="12"/>
      <c r="AC274" s="12"/>
      <c r="AD274" s="12"/>
      <c r="AE274" s="12"/>
      <c r="AF274" s="12"/>
    </row>
    <row r="275" spans="1:32" s="106" customFormat="1" x14ac:dyDescent="0.2">
      <c r="A275" s="12"/>
      <c r="B275" s="12"/>
      <c r="C275" s="13"/>
      <c r="D275" s="13"/>
      <c r="E275" s="13"/>
      <c r="F275" s="12"/>
      <c r="G275" s="16"/>
      <c r="H275" s="16"/>
      <c r="I275" s="16"/>
      <c r="J275" s="13"/>
      <c r="K275" s="13"/>
      <c r="L275" s="13"/>
      <c r="M275" s="13"/>
      <c r="N275" s="12"/>
      <c r="O275" s="16"/>
      <c r="P275" s="16"/>
      <c r="R275" s="12"/>
      <c r="S275" s="12"/>
      <c r="T275" s="12"/>
      <c r="U275" s="12"/>
      <c r="V275" s="12"/>
      <c r="W275" s="12"/>
      <c r="X275" s="12"/>
      <c r="Y275" s="12"/>
      <c r="Z275" s="12"/>
      <c r="AA275" s="12"/>
      <c r="AB275" s="12"/>
      <c r="AC275" s="12"/>
      <c r="AD275" s="12"/>
      <c r="AE275" s="12"/>
      <c r="AF275" s="12"/>
    </row>
    <row r="276" spans="1:32" s="106" customFormat="1" x14ac:dyDescent="0.2">
      <c r="A276" s="12"/>
      <c r="B276" s="12"/>
      <c r="C276" s="13"/>
      <c r="D276" s="13"/>
      <c r="E276" s="13"/>
      <c r="F276" s="12"/>
      <c r="G276" s="16"/>
      <c r="H276" s="16"/>
      <c r="I276" s="16"/>
      <c r="J276" s="13"/>
      <c r="K276" s="13"/>
      <c r="L276" s="13"/>
      <c r="M276" s="13"/>
      <c r="N276" s="12"/>
      <c r="O276" s="16"/>
      <c r="P276" s="16"/>
      <c r="R276" s="12"/>
      <c r="S276" s="12"/>
      <c r="T276" s="12"/>
      <c r="U276" s="12"/>
      <c r="V276" s="12"/>
      <c r="W276" s="12"/>
      <c r="X276" s="12"/>
      <c r="Y276" s="12"/>
      <c r="Z276" s="12"/>
      <c r="AA276" s="12"/>
      <c r="AB276" s="12"/>
      <c r="AC276" s="12"/>
      <c r="AD276" s="12"/>
      <c r="AE276" s="12"/>
      <c r="AF276" s="12"/>
    </row>
    <row r="277" spans="1:32" s="106" customFormat="1" x14ac:dyDescent="0.2">
      <c r="A277" s="12"/>
      <c r="B277" s="12"/>
      <c r="C277" s="13"/>
      <c r="D277" s="13"/>
      <c r="E277" s="13"/>
      <c r="F277" s="12"/>
      <c r="G277" s="16"/>
      <c r="H277" s="16"/>
      <c r="I277" s="16"/>
      <c r="J277" s="13"/>
      <c r="K277" s="13"/>
      <c r="L277" s="13"/>
      <c r="M277" s="13"/>
      <c r="N277" s="12"/>
      <c r="O277" s="16"/>
      <c r="P277" s="16"/>
      <c r="R277" s="12"/>
      <c r="S277" s="12"/>
      <c r="T277" s="12"/>
      <c r="U277" s="12"/>
      <c r="V277" s="12"/>
      <c r="W277" s="12"/>
      <c r="X277" s="12"/>
      <c r="Y277" s="12"/>
      <c r="Z277" s="12"/>
      <c r="AA277" s="12"/>
      <c r="AB277" s="12"/>
      <c r="AC277" s="12"/>
      <c r="AD277" s="12"/>
      <c r="AE277" s="12"/>
      <c r="AF277" s="12"/>
    </row>
    <row r="278" spans="1:32" s="106" customFormat="1" x14ac:dyDescent="0.2">
      <c r="A278" s="12"/>
      <c r="B278" s="12"/>
      <c r="C278" s="13"/>
      <c r="D278" s="13"/>
      <c r="E278" s="13"/>
      <c r="F278" s="12"/>
      <c r="G278" s="16"/>
      <c r="H278" s="16"/>
      <c r="I278" s="16"/>
      <c r="J278" s="13"/>
      <c r="K278" s="13"/>
      <c r="L278" s="13"/>
      <c r="M278" s="13"/>
      <c r="N278" s="12"/>
      <c r="O278" s="16"/>
      <c r="P278" s="16"/>
      <c r="R278" s="12"/>
      <c r="S278" s="12"/>
      <c r="T278" s="12"/>
      <c r="U278" s="12"/>
      <c r="V278" s="12"/>
      <c r="W278" s="12"/>
      <c r="X278" s="12"/>
      <c r="Y278" s="12"/>
      <c r="Z278" s="12"/>
      <c r="AA278" s="12"/>
      <c r="AB278" s="12"/>
      <c r="AC278" s="12"/>
      <c r="AD278" s="12"/>
      <c r="AE278" s="12"/>
      <c r="AF278" s="12"/>
    </row>
    <row r="279" spans="1:32" s="106" customFormat="1" x14ac:dyDescent="0.2">
      <c r="A279" s="12"/>
      <c r="B279" s="12"/>
      <c r="C279" s="13"/>
      <c r="D279" s="13"/>
      <c r="E279" s="13"/>
      <c r="F279" s="12"/>
      <c r="G279" s="16"/>
      <c r="H279" s="16"/>
      <c r="I279" s="16"/>
      <c r="J279" s="13"/>
      <c r="K279" s="13"/>
      <c r="L279" s="13"/>
      <c r="M279" s="13"/>
      <c r="N279" s="12"/>
      <c r="O279" s="16"/>
      <c r="P279" s="16"/>
      <c r="R279" s="12"/>
      <c r="S279" s="12"/>
      <c r="T279" s="12"/>
      <c r="U279" s="12"/>
      <c r="V279" s="12"/>
      <c r="W279" s="12"/>
      <c r="X279" s="12"/>
      <c r="Y279" s="12"/>
      <c r="Z279" s="12"/>
      <c r="AA279" s="12"/>
      <c r="AB279" s="12"/>
      <c r="AC279" s="12"/>
      <c r="AD279" s="12"/>
      <c r="AE279" s="12"/>
      <c r="AF279" s="12"/>
    </row>
    <row r="280" spans="1:32" s="106" customFormat="1" x14ac:dyDescent="0.2">
      <c r="A280" s="12"/>
      <c r="B280" s="12"/>
      <c r="C280" s="13"/>
      <c r="D280" s="13"/>
      <c r="E280" s="13"/>
      <c r="F280" s="12"/>
      <c r="G280" s="16"/>
      <c r="H280" s="16"/>
      <c r="I280" s="16"/>
      <c r="J280" s="13"/>
      <c r="K280" s="13"/>
      <c r="L280" s="13"/>
      <c r="M280" s="13"/>
      <c r="N280" s="12"/>
      <c r="O280" s="16"/>
      <c r="P280" s="16"/>
      <c r="R280" s="12"/>
      <c r="S280" s="12"/>
      <c r="T280" s="12"/>
      <c r="U280" s="12"/>
      <c r="V280" s="12"/>
      <c r="W280" s="12"/>
      <c r="X280" s="12"/>
      <c r="Y280" s="12"/>
      <c r="Z280" s="12"/>
      <c r="AA280" s="12"/>
      <c r="AB280" s="12"/>
      <c r="AC280" s="12"/>
      <c r="AD280" s="12"/>
      <c r="AE280" s="12"/>
      <c r="AF280" s="12"/>
    </row>
    <row r="281" spans="1:32" s="106" customFormat="1" x14ac:dyDescent="0.2">
      <c r="A281" s="12"/>
      <c r="B281" s="12"/>
      <c r="C281" s="13"/>
      <c r="D281" s="13"/>
      <c r="E281" s="13"/>
      <c r="F281" s="12"/>
      <c r="G281" s="16"/>
      <c r="H281" s="16"/>
      <c r="I281" s="16"/>
      <c r="J281" s="13"/>
      <c r="K281" s="13"/>
      <c r="L281" s="13"/>
      <c r="M281" s="13"/>
      <c r="N281" s="12"/>
      <c r="O281" s="16"/>
      <c r="P281" s="16"/>
      <c r="R281" s="12"/>
      <c r="S281" s="12"/>
      <c r="T281" s="12"/>
      <c r="U281" s="12"/>
      <c r="V281" s="12"/>
      <c r="W281" s="12"/>
      <c r="X281" s="12"/>
      <c r="Y281" s="12"/>
      <c r="Z281" s="12"/>
      <c r="AA281" s="12"/>
      <c r="AB281" s="12"/>
      <c r="AC281" s="12"/>
      <c r="AD281" s="12"/>
      <c r="AE281" s="12"/>
      <c r="AF281" s="12"/>
    </row>
    <row r="282" spans="1:32" s="106" customFormat="1" x14ac:dyDescent="0.2">
      <c r="A282" s="12"/>
      <c r="B282" s="12"/>
      <c r="C282" s="13"/>
      <c r="D282" s="13"/>
      <c r="E282" s="13"/>
      <c r="F282" s="12"/>
      <c r="G282" s="16"/>
      <c r="H282" s="16"/>
      <c r="I282" s="16"/>
      <c r="J282" s="13"/>
      <c r="K282" s="13"/>
      <c r="L282" s="13"/>
      <c r="M282" s="13"/>
      <c r="N282" s="12"/>
      <c r="O282" s="16"/>
      <c r="P282" s="16"/>
      <c r="R282" s="12"/>
      <c r="S282" s="12"/>
      <c r="T282" s="12"/>
      <c r="U282" s="12"/>
      <c r="V282" s="12"/>
      <c r="W282" s="12"/>
      <c r="X282" s="12"/>
      <c r="Y282" s="12"/>
      <c r="Z282" s="12"/>
      <c r="AA282" s="12"/>
      <c r="AB282" s="12"/>
      <c r="AC282" s="12"/>
      <c r="AD282" s="12"/>
      <c r="AE282" s="12"/>
      <c r="AF282" s="12"/>
    </row>
    <row r="283" spans="1:32" s="106" customFormat="1" x14ac:dyDescent="0.2">
      <c r="A283" s="12"/>
      <c r="B283" s="12"/>
      <c r="C283" s="13"/>
      <c r="D283" s="13"/>
      <c r="E283" s="13"/>
      <c r="F283" s="12"/>
      <c r="G283" s="16"/>
      <c r="H283" s="16"/>
      <c r="I283" s="16"/>
      <c r="J283" s="13"/>
      <c r="K283" s="13"/>
      <c r="L283" s="13"/>
      <c r="M283" s="13"/>
      <c r="N283" s="12"/>
      <c r="O283" s="16"/>
      <c r="P283" s="16"/>
      <c r="R283" s="12"/>
      <c r="S283" s="12"/>
      <c r="T283" s="12"/>
      <c r="U283" s="12"/>
      <c r="V283" s="12"/>
      <c r="W283" s="12"/>
      <c r="X283" s="12"/>
      <c r="Y283" s="12"/>
      <c r="Z283" s="12"/>
      <c r="AA283" s="12"/>
      <c r="AB283" s="12"/>
      <c r="AC283" s="12"/>
      <c r="AD283" s="12"/>
      <c r="AE283" s="12"/>
      <c r="AF283" s="12"/>
    </row>
    <row r="284" spans="1:32" s="106" customFormat="1" x14ac:dyDescent="0.2">
      <c r="A284" s="12"/>
      <c r="B284" s="12"/>
      <c r="C284" s="13"/>
      <c r="D284" s="13"/>
      <c r="E284" s="13"/>
      <c r="F284" s="12"/>
      <c r="G284" s="16"/>
      <c r="H284" s="16"/>
      <c r="I284" s="16"/>
      <c r="J284" s="13"/>
      <c r="K284" s="13"/>
      <c r="L284" s="13"/>
      <c r="M284" s="13"/>
      <c r="N284" s="12"/>
      <c r="O284" s="16"/>
      <c r="P284" s="16"/>
      <c r="R284" s="12"/>
      <c r="S284" s="12"/>
      <c r="T284" s="12"/>
      <c r="U284" s="12"/>
      <c r="V284" s="12"/>
      <c r="W284" s="12"/>
      <c r="X284" s="12"/>
      <c r="Y284" s="12"/>
      <c r="Z284" s="12"/>
      <c r="AA284" s="12"/>
      <c r="AB284" s="12"/>
      <c r="AC284" s="12"/>
      <c r="AD284" s="12"/>
      <c r="AE284" s="12"/>
      <c r="AF284" s="12"/>
    </row>
    <row r="285" spans="1:32" s="106" customFormat="1" x14ac:dyDescent="0.2">
      <c r="A285" s="12"/>
      <c r="B285" s="12"/>
      <c r="C285" s="13"/>
      <c r="D285" s="13"/>
      <c r="E285" s="13"/>
      <c r="F285" s="12"/>
      <c r="G285" s="16"/>
      <c r="H285" s="16"/>
      <c r="I285" s="16"/>
      <c r="J285" s="13"/>
      <c r="K285" s="13"/>
      <c r="L285" s="13"/>
      <c r="M285" s="13"/>
      <c r="N285" s="12"/>
      <c r="O285" s="16"/>
      <c r="P285" s="16"/>
      <c r="R285" s="12"/>
      <c r="S285" s="12"/>
      <c r="T285" s="12"/>
      <c r="U285" s="12"/>
      <c r="V285" s="12"/>
      <c r="W285" s="12"/>
      <c r="X285" s="12"/>
      <c r="Y285" s="12"/>
      <c r="Z285" s="12"/>
      <c r="AA285" s="12"/>
      <c r="AB285" s="12"/>
      <c r="AC285" s="12"/>
      <c r="AD285" s="12"/>
      <c r="AE285" s="12"/>
      <c r="AF285" s="12"/>
    </row>
    <row r="286" spans="1:32" s="106" customFormat="1" x14ac:dyDescent="0.2">
      <c r="A286" s="12"/>
      <c r="B286" s="12"/>
      <c r="C286" s="13"/>
      <c r="D286" s="13"/>
      <c r="E286" s="13"/>
      <c r="F286" s="12"/>
      <c r="G286" s="16"/>
      <c r="H286" s="16"/>
      <c r="I286" s="16"/>
      <c r="J286" s="13"/>
      <c r="K286" s="13"/>
      <c r="L286" s="13"/>
      <c r="M286" s="13"/>
      <c r="N286" s="12"/>
      <c r="O286" s="16"/>
      <c r="P286" s="16"/>
      <c r="R286" s="12"/>
      <c r="S286" s="12"/>
      <c r="T286" s="12"/>
      <c r="U286" s="12"/>
      <c r="V286" s="12"/>
      <c r="W286" s="12"/>
      <c r="X286" s="12"/>
      <c r="Y286" s="12"/>
      <c r="Z286" s="12"/>
      <c r="AA286" s="12"/>
      <c r="AB286" s="12"/>
      <c r="AC286" s="12"/>
      <c r="AD286" s="12"/>
      <c r="AE286" s="12"/>
      <c r="AF286" s="12"/>
    </row>
    <row r="287" spans="1:32" s="106" customFormat="1" x14ac:dyDescent="0.2">
      <c r="A287" s="12"/>
      <c r="B287" s="12"/>
      <c r="C287" s="13"/>
      <c r="D287" s="13"/>
      <c r="E287" s="13"/>
      <c r="F287" s="12"/>
      <c r="G287" s="16"/>
      <c r="H287" s="16"/>
      <c r="I287" s="16"/>
      <c r="J287" s="13"/>
      <c r="K287" s="13"/>
      <c r="L287" s="13"/>
      <c r="M287" s="13"/>
      <c r="N287" s="12"/>
      <c r="O287" s="16"/>
      <c r="P287" s="16"/>
      <c r="R287" s="12"/>
      <c r="S287" s="12"/>
      <c r="T287" s="12"/>
      <c r="U287" s="12"/>
      <c r="V287" s="12"/>
      <c r="W287" s="12"/>
      <c r="X287" s="12"/>
      <c r="Y287" s="12"/>
      <c r="Z287" s="12"/>
      <c r="AA287" s="12"/>
      <c r="AB287" s="12"/>
      <c r="AC287" s="12"/>
      <c r="AD287" s="12"/>
      <c r="AE287" s="12"/>
      <c r="AF287" s="12"/>
    </row>
    <row r="288" spans="1:32" s="106" customFormat="1" x14ac:dyDescent="0.2">
      <c r="A288" s="12"/>
      <c r="B288" s="12"/>
      <c r="C288" s="13"/>
      <c r="D288" s="13"/>
      <c r="E288" s="13"/>
      <c r="F288" s="12"/>
      <c r="G288" s="16"/>
      <c r="H288" s="16"/>
      <c r="I288" s="16"/>
      <c r="J288" s="13"/>
      <c r="K288" s="13"/>
      <c r="L288" s="13"/>
      <c r="M288" s="13"/>
      <c r="N288" s="12"/>
      <c r="O288" s="16"/>
      <c r="P288" s="16"/>
      <c r="R288" s="12"/>
      <c r="S288" s="12"/>
      <c r="T288" s="12"/>
      <c r="U288" s="12"/>
      <c r="V288" s="12"/>
      <c r="W288" s="12"/>
      <c r="X288" s="12"/>
      <c r="Y288" s="12"/>
      <c r="Z288" s="12"/>
      <c r="AA288" s="12"/>
      <c r="AB288" s="12"/>
      <c r="AC288" s="12"/>
      <c r="AD288" s="12"/>
      <c r="AE288" s="12"/>
      <c r="AF288" s="12"/>
    </row>
    <row r="289" spans="1:32" s="106" customFormat="1" x14ac:dyDescent="0.2">
      <c r="A289" s="12"/>
      <c r="B289" s="12"/>
      <c r="C289" s="13"/>
      <c r="D289" s="13"/>
      <c r="E289" s="13"/>
      <c r="F289" s="12"/>
      <c r="G289" s="16"/>
      <c r="H289" s="16"/>
      <c r="I289" s="16"/>
      <c r="J289" s="13"/>
      <c r="K289" s="13"/>
      <c r="L289" s="13"/>
      <c r="M289" s="13"/>
      <c r="N289" s="12"/>
      <c r="O289" s="16"/>
      <c r="P289" s="16"/>
      <c r="R289" s="12"/>
      <c r="S289" s="12"/>
      <c r="T289" s="12"/>
      <c r="U289" s="12"/>
      <c r="V289" s="12"/>
      <c r="W289" s="12"/>
      <c r="X289" s="12"/>
      <c r="Y289" s="12"/>
      <c r="Z289" s="12"/>
      <c r="AA289" s="12"/>
      <c r="AB289" s="12"/>
      <c r="AC289" s="12"/>
      <c r="AD289" s="12"/>
      <c r="AE289" s="12"/>
      <c r="AF289" s="12"/>
    </row>
    <row r="290" spans="1:32" s="106" customFormat="1" x14ac:dyDescent="0.2">
      <c r="A290" s="12"/>
      <c r="B290" s="12"/>
      <c r="C290" s="13"/>
      <c r="D290" s="13"/>
      <c r="E290" s="13"/>
      <c r="F290" s="12"/>
      <c r="G290" s="16"/>
      <c r="H290" s="16"/>
      <c r="I290" s="16"/>
      <c r="J290" s="13"/>
      <c r="K290" s="13"/>
      <c r="L290" s="13"/>
      <c r="M290" s="13"/>
      <c r="N290" s="12"/>
      <c r="O290" s="16"/>
      <c r="P290" s="16"/>
      <c r="R290" s="12"/>
      <c r="S290" s="12"/>
      <c r="T290" s="12"/>
      <c r="U290" s="12"/>
      <c r="V290" s="12"/>
      <c r="W290" s="12"/>
      <c r="X290" s="12"/>
      <c r="Y290" s="12"/>
      <c r="Z290" s="12"/>
      <c r="AA290" s="12"/>
      <c r="AB290" s="12"/>
      <c r="AC290" s="12"/>
      <c r="AD290" s="12"/>
      <c r="AE290" s="12"/>
      <c r="AF290" s="12"/>
    </row>
    <row r="291" spans="1:32" s="106" customFormat="1" x14ac:dyDescent="0.2">
      <c r="A291" s="12"/>
      <c r="B291" s="12"/>
      <c r="C291" s="13"/>
      <c r="D291" s="13"/>
      <c r="E291" s="13"/>
      <c r="F291" s="12"/>
      <c r="G291" s="16"/>
      <c r="H291" s="16"/>
      <c r="I291" s="16"/>
      <c r="J291" s="13"/>
      <c r="K291" s="13"/>
      <c r="L291" s="13"/>
      <c r="M291" s="13"/>
      <c r="N291" s="12"/>
      <c r="O291" s="16"/>
      <c r="P291" s="16"/>
      <c r="R291" s="12"/>
      <c r="S291" s="12"/>
      <c r="T291" s="12"/>
      <c r="U291" s="12"/>
      <c r="V291" s="12"/>
      <c r="W291" s="12"/>
      <c r="X291" s="12"/>
      <c r="Y291" s="12"/>
      <c r="Z291" s="12"/>
      <c r="AA291" s="12"/>
      <c r="AB291" s="12"/>
      <c r="AC291" s="12"/>
      <c r="AD291" s="12"/>
      <c r="AE291" s="12"/>
      <c r="AF291" s="12"/>
    </row>
    <row r="292" spans="1:32" s="106" customFormat="1" x14ac:dyDescent="0.2">
      <c r="A292" s="12"/>
      <c r="B292" s="12"/>
      <c r="C292" s="13"/>
      <c r="D292" s="13"/>
      <c r="E292" s="13"/>
      <c r="F292" s="12"/>
      <c r="G292" s="16"/>
      <c r="H292" s="16"/>
      <c r="I292" s="16"/>
      <c r="J292" s="13"/>
      <c r="K292" s="13"/>
      <c r="L292" s="13"/>
      <c r="M292" s="13"/>
      <c r="N292" s="12"/>
      <c r="O292" s="16"/>
      <c r="P292" s="16"/>
      <c r="R292" s="12"/>
      <c r="S292" s="12"/>
      <c r="T292" s="12"/>
      <c r="U292" s="12"/>
      <c r="V292" s="12"/>
      <c r="W292" s="12"/>
      <c r="X292" s="12"/>
      <c r="Y292" s="12"/>
      <c r="Z292" s="12"/>
      <c r="AA292" s="12"/>
      <c r="AB292" s="12"/>
      <c r="AC292" s="12"/>
      <c r="AD292" s="12"/>
      <c r="AE292" s="12"/>
      <c r="AF292" s="12"/>
    </row>
    <row r="293" spans="1:32" s="106" customFormat="1" x14ac:dyDescent="0.2">
      <c r="A293" s="12"/>
      <c r="B293" s="12"/>
      <c r="C293" s="13"/>
      <c r="D293" s="13"/>
      <c r="E293" s="13"/>
      <c r="F293" s="12"/>
      <c r="G293" s="16"/>
      <c r="H293" s="16"/>
      <c r="I293" s="16"/>
      <c r="J293" s="13"/>
      <c r="K293" s="13"/>
      <c r="L293" s="13"/>
      <c r="M293" s="13"/>
      <c r="N293" s="12"/>
      <c r="O293" s="16"/>
      <c r="P293" s="16"/>
      <c r="R293" s="12"/>
      <c r="S293" s="12"/>
      <c r="T293" s="12"/>
      <c r="U293" s="12"/>
      <c r="V293" s="12"/>
      <c r="W293" s="12"/>
      <c r="X293" s="12"/>
      <c r="Y293" s="12"/>
      <c r="Z293" s="12"/>
      <c r="AA293" s="12"/>
      <c r="AB293" s="12"/>
      <c r="AC293" s="12"/>
      <c r="AD293" s="12"/>
      <c r="AE293" s="12"/>
      <c r="AF293" s="12"/>
    </row>
    <row r="294" spans="1:32" s="106" customFormat="1" x14ac:dyDescent="0.2">
      <c r="A294" s="12"/>
      <c r="B294" s="12"/>
      <c r="C294" s="13"/>
      <c r="D294" s="13"/>
      <c r="E294" s="13"/>
      <c r="F294" s="12"/>
      <c r="G294" s="16"/>
      <c r="H294" s="16"/>
      <c r="I294" s="16"/>
      <c r="J294" s="13"/>
      <c r="K294" s="13"/>
      <c r="L294" s="13"/>
      <c r="M294" s="13"/>
      <c r="N294" s="12"/>
      <c r="O294" s="16"/>
      <c r="P294" s="16"/>
      <c r="R294" s="12"/>
      <c r="S294" s="12"/>
      <c r="T294" s="12"/>
      <c r="U294" s="12"/>
      <c r="V294" s="12"/>
      <c r="W294" s="12"/>
      <c r="X294" s="12"/>
      <c r="Y294" s="12"/>
      <c r="Z294" s="12"/>
      <c r="AA294" s="12"/>
      <c r="AB294" s="12"/>
      <c r="AC294" s="12"/>
      <c r="AD294" s="12"/>
      <c r="AE294" s="12"/>
      <c r="AF294" s="12"/>
    </row>
    <row r="295" spans="1:32" s="106" customFormat="1" x14ac:dyDescent="0.2">
      <c r="A295" s="12"/>
      <c r="B295" s="12"/>
      <c r="C295" s="13"/>
      <c r="D295" s="13"/>
      <c r="E295" s="13"/>
      <c r="F295" s="12"/>
      <c r="G295" s="16"/>
      <c r="H295" s="16"/>
      <c r="I295" s="16"/>
      <c r="J295" s="13"/>
      <c r="K295" s="13"/>
      <c r="L295" s="13"/>
      <c r="M295" s="13"/>
      <c r="N295" s="12"/>
      <c r="O295" s="16"/>
      <c r="P295" s="16"/>
      <c r="R295" s="12"/>
      <c r="S295" s="12"/>
      <c r="T295" s="12"/>
      <c r="U295" s="12"/>
      <c r="V295" s="12"/>
      <c r="W295" s="12"/>
      <c r="X295" s="12"/>
      <c r="Y295" s="12"/>
      <c r="Z295" s="12"/>
      <c r="AA295" s="12"/>
      <c r="AB295" s="12"/>
      <c r="AC295" s="12"/>
      <c r="AD295" s="12"/>
      <c r="AE295" s="12"/>
      <c r="AF295" s="12"/>
    </row>
    <row r="296" spans="1:32" s="106" customFormat="1" x14ac:dyDescent="0.2">
      <c r="A296" s="12"/>
      <c r="B296" s="12"/>
      <c r="C296" s="13"/>
      <c r="D296" s="13"/>
      <c r="E296" s="13"/>
      <c r="F296" s="12"/>
      <c r="G296" s="16"/>
      <c r="H296" s="16"/>
      <c r="I296" s="16"/>
      <c r="J296" s="13"/>
      <c r="K296" s="13"/>
      <c r="L296" s="13"/>
      <c r="M296" s="13"/>
      <c r="N296" s="12"/>
      <c r="O296" s="16"/>
      <c r="P296" s="16"/>
      <c r="R296" s="12"/>
      <c r="S296" s="12"/>
      <c r="T296" s="12"/>
      <c r="U296" s="12"/>
      <c r="V296" s="12"/>
      <c r="W296" s="12"/>
      <c r="X296" s="12"/>
      <c r="Y296" s="12"/>
      <c r="Z296" s="12"/>
      <c r="AA296" s="12"/>
      <c r="AB296" s="12"/>
      <c r="AC296" s="12"/>
      <c r="AD296" s="12"/>
      <c r="AE296" s="12"/>
      <c r="AF296" s="12"/>
    </row>
    <row r="297" spans="1:32" s="106" customFormat="1" x14ac:dyDescent="0.2">
      <c r="A297" s="12"/>
      <c r="B297" s="12"/>
      <c r="C297" s="13"/>
      <c r="D297" s="13"/>
      <c r="E297" s="13"/>
      <c r="F297" s="12"/>
      <c r="G297" s="16"/>
      <c r="H297" s="16"/>
      <c r="I297" s="16"/>
      <c r="J297" s="13"/>
      <c r="K297" s="13"/>
      <c r="L297" s="13"/>
      <c r="M297" s="13"/>
      <c r="N297" s="12"/>
      <c r="O297" s="16"/>
      <c r="P297" s="16"/>
      <c r="R297" s="12"/>
      <c r="S297" s="12"/>
      <c r="T297" s="12"/>
      <c r="U297" s="12"/>
      <c r="V297" s="12"/>
      <c r="W297" s="12"/>
      <c r="X297" s="12"/>
      <c r="Y297" s="12"/>
      <c r="Z297" s="12"/>
      <c r="AA297" s="12"/>
      <c r="AB297" s="12"/>
      <c r="AC297" s="12"/>
      <c r="AD297" s="12"/>
      <c r="AE297" s="12"/>
      <c r="AF297" s="12"/>
    </row>
    <row r="298" spans="1:32" s="106" customFormat="1" x14ac:dyDescent="0.2">
      <c r="A298" s="12"/>
      <c r="B298" s="12"/>
      <c r="C298" s="13"/>
      <c r="D298" s="13"/>
      <c r="E298" s="13"/>
      <c r="F298" s="12"/>
      <c r="G298" s="16"/>
      <c r="H298" s="16"/>
      <c r="I298" s="16"/>
      <c r="J298" s="13"/>
      <c r="K298" s="13"/>
      <c r="L298" s="13"/>
      <c r="M298" s="13"/>
      <c r="N298" s="12"/>
      <c r="O298" s="16"/>
      <c r="P298" s="16"/>
      <c r="R298" s="12"/>
      <c r="S298" s="12"/>
      <c r="T298" s="12"/>
      <c r="U298" s="12"/>
      <c r="V298" s="12"/>
      <c r="W298" s="12"/>
      <c r="X298" s="12"/>
      <c r="Y298" s="12"/>
      <c r="Z298" s="12"/>
      <c r="AA298" s="12"/>
      <c r="AB298" s="12"/>
      <c r="AC298" s="12"/>
      <c r="AD298" s="12"/>
      <c r="AE298" s="12"/>
      <c r="AF298" s="12"/>
    </row>
    <row r="299" spans="1:32" s="106" customFormat="1" x14ac:dyDescent="0.2">
      <c r="A299" s="12"/>
      <c r="B299" s="12"/>
      <c r="C299" s="13"/>
      <c r="D299" s="13"/>
      <c r="E299" s="13"/>
      <c r="F299" s="12"/>
      <c r="G299" s="16"/>
      <c r="H299" s="16"/>
      <c r="I299" s="16"/>
      <c r="J299" s="13"/>
      <c r="K299" s="13"/>
      <c r="L299" s="13"/>
      <c r="M299" s="13"/>
      <c r="N299" s="12"/>
      <c r="O299" s="16"/>
      <c r="P299" s="16"/>
      <c r="R299" s="12"/>
      <c r="S299" s="12"/>
      <c r="T299" s="12"/>
      <c r="U299" s="12"/>
      <c r="V299" s="12"/>
      <c r="W299" s="12"/>
      <c r="X299" s="12"/>
      <c r="Y299" s="12"/>
      <c r="Z299" s="12"/>
      <c r="AA299" s="12"/>
      <c r="AB299" s="12"/>
      <c r="AC299" s="12"/>
      <c r="AD299" s="12"/>
      <c r="AE299" s="12"/>
      <c r="AF299" s="12"/>
    </row>
    <row r="300" spans="1:32" s="106" customFormat="1" x14ac:dyDescent="0.2">
      <c r="A300" s="12"/>
      <c r="B300" s="12"/>
      <c r="C300" s="13"/>
      <c r="D300" s="13"/>
      <c r="E300" s="13"/>
      <c r="F300" s="12"/>
      <c r="G300" s="16"/>
      <c r="H300" s="16"/>
      <c r="I300" s="16"/>
      <c r="J300" s="13"/>
      <c r="K300" s="13"/>
      <c r="L300" s="13"/>
      <c r="M300" s="13"/>
      <c r="N300" s="12"/>
      <c r="O300" s="16"/>
      <c r="P300" s="16"/>
      <c r="R300" s="12"/>
      <c r="S300" s="12"/>
      <c r="T300" s="12"/>
      <c r="U300" s="12"/>
      <c r="V300" s="12"/>
      <c r="W300" s="12"/>
      <c r="X300" s="12"/>
      <c r="Y300" s="12"/>
      <c r="Z300" s="12"/>
      <c r="AA300" s="12"/>
      <c r="AB300" s="12"/>
      <c r="AC300" s="12"/>
      <c r="AD300" s="12"/>
      <c r="AE300" s="12"/>
      <c r="AF300" s="12"/>
    </row>
    <row r="301" spans="1:32" s="106" customFormat="1" x14ac:dyDescent="0.2">
      <c r="A301" s="12"/>
      <c r="B301" s="12"/>
      <c r="C301" s="13"/>
      <c r="D301" s="13"/>
      <c r="E301" s="13"/>
      <c r="F301" s="12"/>
      <c r="G301" s="16"/>
      <c r="H301" s="16"/>
      <c r="I301" s="16"/>
      <c r="J301" s="13"/>
      <c r="K301" s="13"/>
      <c r="L301" s="13"/>
      <c r="M301" s="13"/>
      <c r="N301" s="12"/>
      <c r="O301" s="16"/>
      <c r="P301" s="16"/>
      <c r="R301" s="12"/>
      <c r="S301" s="12"/>
      <c r="T301" s="12"/>
      <c r="U301" s="12"/>
      <c r="V301" s="12"/>
      <c r="W301" s="12"/>
      <c r="X301" s="12"/>
      <c r="Y301" s="12"/>
      <c r="Z301" s="12"/>
      <c r="AA301" s="12"/>
      <c r="AB301" s="12"/>
      <c r="AC301" s="12"/>
      <c r="AD301" s="12"/>
      <c r="AE301" s="12"/>
      <c r="AF301" s="12"/>
    </row>
    <row r="302" spans="1:32" s="106" customFormat="1" x14ac:dyDescent="0.2">
      <c r="A302" s="12"/>
      <c r="B302" s="12"/>
      <c r="C302" s="13"/>
      <c r="D302" s="13"/>
      <c r="E302" s="13"/>
      <c r="F302" s="12"/>
      <c r="G302" s="16"/>
      <c r="H302" s="16"/>
      <c r="I302" s="16"/>
      <c r="J302" s="13"/>
      <c r="K302" s="13"/>
      <c r="L302" s="13"/>
      <c r="M302" s="13"/>
      <c r="N302" s="12"/>
      <c r="O302" s="16"/>
      <c r="P302" s="16"/>
      <c r="R302" s="12"/>
      <c r="S302" s="12"/>
      <c r="T302" s="12"/>
      <c r="U302" s="12"/>
      <c r="V302" s="12"/>
      <c r="W302" s="12"/>
      <c r="X302" s="12"/>
      <c r="Y302" s="12"/>
      <c r="Z302" s="12"/>
      <c r="AA302" s="12"/>
      <c r="AB302" s="12"/>
      <c r="AC302" s="12"/>
      <c r="AD302" s="12"/>
      <c r="AE302" s="12"/>
      <c r="AF302" s="12"/>
    </row>
    <row r="303" spans="1:32" s="106" customFormat="1" x14ac:dyDescent="0.2">
      <c r="A303" s="12"/>
      <c r="B303" s="12"/>
      <c r="C303" s="13"/>
      <c r="D303" s="13"/>
      <c r="E303" s="13"/>
      <c r="F303" s="12"/>
      <c r="G303" s="16"/>
      <c r="H303" s="16"/>
      <c r="I303" s="16"/>
      <c r="J303" s="13"/>
      <c r="K303" s="13"/>
      <c r="L303" s="13"/>
      <c r="M303" s="13"/>
      <c r="N303" s="12"/>
      <c r="O303" s="16"/>
      <c r="P303" s="16"/>
      <c r="R303" s="12"/>
      <c r="S303" s="12"/>
      <c r="T303" s="12"/>
      <c r="U303" s="12"/>
      <c r="V303" s="12"/>
      <c r="W303" s="12"/>
      <c r="X303" s="12"/>
      <c r="Y303" s="12"/>
      <c r="Z303" s="12"/>
      <c r="AA303" s="12"/>
      <c r="AB303" s="12"/>
      <c r="AC303" s="12"/>
      <c r="AD303" s="12"/>
      <c r="AE303" s="12"/>
      <c r="AF303" s="12"/>
    </row>
    <row r="304" spans="1:32" s="106" customFormat="1" x14ac:dyDescent="0.2">
      <c r="A304" s="12"/>
      <c r="B304" s="12"/>
      <c r="C304" s="13"/>
      <c r="D304" s="13"/>
      <c r="E304" s="13"/>
      <c r="F304" s="12"/>
      <c r="G304" s="16"/>
      <c r="H304" s="16"/>
      <c r="I304" s="16"/>
      <c r="J304" s="13"/>
      <c r="K304" s="13"/>
      <c r="L304" s="13"/>
      <c r="M304" s="13"/>
      <c r="N304" s="12"/>
      <c r="O304" s="16"/>
      <c r="P304" s="16"/>
      <c r="R304" s="12"/>
      <c r="S304" s="12"/>
      <c r="T304" s="12"/>
      <c r="U304" s="12"/>
      <c r="V304" s="12"/>
      <c r="W304" s="12"/>
      <c r="X304" s="12"/>
      <c r="Y304" s="12"/>
      <c r="Z304" s="12"/>
      <c r="AA304" s="12"/>
      <c r="AB304" s="12"/>
      <c r="AC304" s="12"/>
      <c r="AD304" s="12"/>
      <c r="AE304" s="12"/>
      <c r="AF304" s="12"/>
    </row>
    <row r="305" spans="1:32" s="106" customFormat="1" x14ac:dyDescent="0.2">
      <c r="A305" s="12"/>
      <c r="B305" s="12"/>
      <c r="C305" s="13"/>
      <c r="D305" s="13"/>
      <c r="E305" s="13"/>
      <c r="F305" s="12"/>
      <c r="G305" s="16"/>
      <c r="H305" s="16"/>
      <c r="I305" s="16"/>
      <c r="J305" s="13"/>
      <c r="K305" s="13"/>
      <c r="L305" s="13"/>
      <c r="M305" s="13"/>
      <c r="N305" s="12"/>
      <c r="O305" s="16"/>
      <c r="P305" s="16"/>
      <c r="R305" s="12"/>
      <c r="S305" s="12"/>
      <c r="T305" s="12"/>
      <c r="U305" s="12"/>
      <c r="V305" s="12"/>
      <c r="W305" s="12"/>
      <c r="X305" s="12"/>
      <c r="Y305" s="12"/>
      <c r="Z305" s="12"/>
      <c r="AA305" s="12"/>
      <c r="AB305" s="12"/>
      <c r="AC305" s="12"/>
      <c r="AD305" s="12"/>
      <c r="AE305" s="12"/>
      <c r="AF305" s="12"/>
    </row>
    <row r="306" spans="1:32" s="106" customFormat="1" x14ac:dyDescent="0.2">
      <c r="A306" s="12"/>
      <c r="B306" s="12"/>
      <c r="C306" s="13"/>
      <c r="D306" s="13"/>
      <c r="E306" s="13"/>
      <c r="F306" s="12"/>
      <c r="G306" s="16"/>
      <c r="H306" s="16"/>
      <c r="I306" s="16"/>
      <c r="J306" s="13"/>
      <c r="K306" s="13"/>
      <c r="L306" s="13"/>
      <c r="M306" s="13"/>
      <c r="N306" s="12"/>
      <c r="O306" s="16"/>
      <c r="P306" s="16"/>
      <c r="R306" s="12"/>
      <c r="S306" s="12"/>
      <c r="T306" s="12"/>
      <c r="U306" s="12"/>
      <c r="V306" s="12"/>
      <c r="W306" s="12"/>
      <c r="X306" s="12"/>
      <c r="Y306" s="12"/>
      <c r="Z306" s="12"/>
      <c r="AA306" s="12"/>
      <c r="AB306" s="12"/>
      <c r="AC306" s="12"/>
      <c r="AD306" s="12"/>
      <c r="AE306" s="12"/>
      <c r="AF306" s="12"/>
    </row>
    <row r="307" spans="1:32" s="106" customFormat="1" x14ac:dyDescent="0.2">
      <c r="A307" s="12"/>
      <c r="B307" s="12"/>
      <c r="C307" s="13"/>
      <c r="D307" s="13"/>
      <c r="E307" s="13"/>
      <c r="F307" s="12"/>
      <c r="G307" s="16"/>
      <c r="H307" s="16"/>
      <c r="I307" s="16"/>
      <c r="J307" s="13"/>
      <c r="K307" s="13"/>
      <c r="L307" s="13"/>
      <c r="M307" s="13"/>
      <c r="N307" s="12"/>
      <c r="O307" s="16"/>
      <c r="P307" s="16"/>
      <c r="R307" s="12"/>
      <c r="S307" s="12"/>
      <c r="T307" s="12"/>
      <c r="U307" s="12"/>
      <c r="V307" s="12"/>
      <c r="W307" s="12"/>
      <c r="X307" s="12"/>
      <c r="Y307" s="12"/>
      <c r="Z307" s="12"/>
      <c r="AA307" s="12"/>
      <c r="AB307" s="12"/>
      <c r="AC307" s="12"/>
      <c r="AD307" s="12"/>
      <c r="AE307" s="12"/>
      <c r="AF307" s="12"/>
    </row>
    <row r="308" spans="1:32" s="106" customFormat="1" x14ac:dyDescent="0.2">
      <c r="A308" s="12"/>
      <c r="B308" s="12"/>
      <c r="C308" s="13"/>
      <c r="D308" s="13"/>
      <c r="E308" s="13"/>
      <c r="F308" s="12"/>
      <c r="G308" s="16"/>
      <c r="H308" s="16"/>
      <c r="I308" s="16"/>
      <c r="J308" s="13"/>
      <c r="K308" s="13"/>
      <c r="L308" s="13"/>
      <c r="M308" s="13"/>
      <c r="N308" s="12"/>
      <c r="O308" s="16"/>
      <c r="P308" s="16"/>
      <c r="R308" s="12"/>
      <c r="S308" s="12"/>
      <c r="T308" s="12"/>
      <c r="U308" s="12"/>
      <c r="V308" s="12"/>
      <c r="W308" s="12"/>
      <c r="X308" s="12"/>
      <c r="Y308" s="12"/>
      <c r="Z308" s="12"/>
      <c r="AA308" s="12"/>
      <c r="AB308" s="12"/>
      <c r="AC308" s="12"/>
      <c r="AD308" s="12"/>
      <c r="AE308" s="12"/>
      <c r="AF308" s="12"/>
    </row>
    <row r="309" spans="1:32" s="106" customFormat="1" x14ac:dyDescent="0.2">
      <c r="A309" s="12"/>
      <c r="B309" s="12"/>
      <c r="C309" s="13"/>
      <c r="D309" s="13"/>
      <c r="E309" s="13"/>
      <c r="F309" s="12"/>
      <c r="G309" s="16"/>
      <c r="H309" s="16"/>
      <c r="I309" s="16"/>
      <c r="J309" s="13"/>
      <c r="K309" s="13"/>
      <c r="L309" s="13"/>
      <c r="M309" s="13"/>
      <c r="N309" s="12"/>
      <c r="O309" s="16"/>
      <c r="P309" s="16"/>
      <c r="R309" s="12"/>
      <c r="S309" s="12"/>
      <c r="T309" s="12"/>
      <c r="U309" s="12"/>
      <c r="V309" s="12"/>
      <c r="W309" s="12"/>
      <c r="X309" s="12"/>
      <c r="Y309" s="12"/>
      <c r="Z309" s="12"/>
      <c r="AA309" s="12"/>
      <c r="AB309" s="12"/>
      <c r="AC309" s="12"/>
      <c r="AD309" s="12"/>
      <c r="AE309" s="12"/>
      <c r="AF309" s="12"/>
    </row>
    <row r="310" spans="1:32" s="106" customFormat="1" x14ac:dyDescent="0.2">
      <c r="A310" s="12"/>
      <c r="B310" s="12"/>
      <c r="C310" s="13"/>
      <c r="D310" s="13"/>
      <c r="E310" s="13"/>
      <c r="F310" s="12"/>
      <c r="G310" s="16"/>
      <c r="H310" s="16"/>
      <c r="I310" s="16"/>
      <c r="J310" s="13"/>
      <c r="K310" s="13"/>
      <c r="L310" s="13"/>
      <c r="M310" s="13"/>
      <c r="N310" s="12"/>
      <c r="O310" s="16"/>
      <c r="P310" s="16"/>
      <c r="R310" s="12"/>
      <c r="S310" s="12"/>
      <c r="T310" s="12"/>
      <c r="U310" s="12"/>
      <c r="V310" s="12"/>
      <c r="W310" s="12"/>
      <c r="X310" s="12"/>
      <c r="Y310" s="12"/>
      <c r="Z310" s="12"/>
      <c r="AA310" s="12"/>
      <c r="AB310" s="12"/>
      <c r="AC310" s="12"/>
      <c r="AD310" s="12"/>
      <c r="AE310" s="12"/>
      <c r="AF310" s="12"/>
    </row>
    <row r="311" spans="1:32" s="106" customFormat="1" x14ac:dyDescent="0.2">
      <c r="A311" s="12"/>
      <c r="B311" s="12"/>
      <c r="C311" s="13"/>
      <c r="D311" s="13"/>
      <c r="E311" s="13"/>
      <c r="F311" s="12"/>
      <c r="G311" s="16"/>
      <c r="H311" s="16"/>
      <c r="I311" s="16"/>
      <c r="J311" s="13"/>
      <c r="K311" s="13"/>
      <c r="L311" s="13"/>
      <c r="M311" s="13"/>
      <c r="N311" s="12"/>
      <c r="O311" s="16"/>
      <c r="P311" s="16"/>
      <c r="R311" s="12"/>
      <c r="S311" s="12"/>
      <c r="T311" s="12"/>
      <c r="U311" s="12"/>
      <c r="V311" s="12"/>
      <c r="W311" s="12"/>
      <c r="X311" s="12"/>
      <c r="Y311" s="12"/>
      <c r="Z311" s="12"/>
      <c r="AA311" s="12"/>
      <c r="AB311" s="12"/>
      <c r="AC311" s="12"/>
      <c r="AD311" s="12"/>
      <c r="AE311" s="12"/>
      <c r="AF311" s="12"/>
    </row>
    <row r="312" spans="1:32" s="106" customFormat="1" x14ac:dyDescent="0.2">
      <c r="A312" s="12"/>
      <c r="B312" s="12"/>
      <c r="C312" s="13"/>
      <c r="D312" s="13"/>
      <c r="E312" s="13"/>
      <c r="F312" s="12"/>
      <c r="G312" s="16"/>
      <c r="H312" s="16"/>
      <c r="I312" s="16"/>
      <c r="J312" s="13"/>
      <c r="K312" s="13"/>
      <c r="L312" s="13"/>
      <c r="M312" s="13"/>
      <c r="N312" s="12"/>
      <c r="O312" s="16"/>
      <c r="P312" s="16"/>
      <c r="R312" s="12"/>
      <c r="S312" s="12"/>
      <c r="T312" s="12"/>
      <c r="U312" s="12"/>
      <c r="V312" s="12"/>
      <c r="W312" s="12"/>
      <c r="X312" s="12"/>
      <c r="Y312" s="12"/>
      <c r="Z312" s="12"/>
      <c r="AA312" s="12"/>
      <c r="AB312" s="12"/>
      <c r="AC312" s="12"/>
      <c r="AD312" s="12"/>
      <c r="AE312" s="12"/>
      <c r="AF312" s="12"/>
    </row>
    <row r="313" spans="1:32" s="106" customFormat="1" x14ac:dyDescent="0.2">
      <c r="A313" s="12"/>
      <c r="B313" s="12"/>
      <c r="C313" s="13"/>
      <c r="D313" s="13"/>
      <c r="E313" s="13"/>
      <c r="F313" s="12"/>
      <c r="G313" s="16"/>
      <c r="H313" s="16"/>
      <c r="I313" s="16"/>
      <c r="J313" s="13"/>
      <c r="K313" s="13"/>
      <c r="L313" s="13"/>
      <c r="M313" s="13"/>
      <c r="N313" s="12"/>
      <c r="O313" s="16"/>
      <c r="P313" s="16"/>
      <c r="R313" s="12"/>
      <c r="S313" s="12"/>
      <c r="T313" s="12"/>
      <c r="U313" s="12"/>
      <c r="V313" s="12"/>
      <c r="W313" s="12"/>
      <c r="X313" s="12"/>
      <c r="Y313" s="12"/>
      <c r="Z313" s="12"/>
      <c r="AA313" s="12"/>
      <c r="AB313" s="12"/>
      <c r="AC313" s="12"/>
      <c r="AD313" s="12"/>
      <c r="AE313" s="12"/>
      <c r="AF313" s="12"/>
    </row>
    <row r="314" spans="1:32" s="106" customFormat="1" x14ac:dyDescent="0.2">
      <c r="A314" s="12"/>
      <c r="B314" s="12"/>
      <c r="C314" s="13"/>
      <c r="D314" s="13"/>
      <c r="E314" s="13"/>
      <c r="F314" s="12"/>
      <c r="G314" s="16"/>
      <c r="H314" s="16"/>
      <c r="I314" s="16"/>
      <c r="J314" s="13"/>
      <c r="K314" s="13"/>
      <c r="L314" s="13"/>
      <c r="M314" s="13"/>
      <c r="N314" s="12"/>
      <c r="O314" s="16"/>
      <c r="P314" s="16"/>
      <c r="R314" s="12"/>
      <c r="S314" s="12"/>
      <c r="T314" s="12"/>
      <c r="U314" s="12"/>
      <c r="V314" s="12"/>
      <c r="W314" s="12"/>
      <c r="X314" s="12"/>
      <c r="Y314" s="12"/>
      <c r="Z314" s="12"/>
      <c r="AA314" s="12"/>
      <c r="AB314" s="12"/>
      <c r="AC314" s="12"/>
      <c r="AD314" s="12"/>
      <c r="AE314" s="12"/>
      <c r="AF314" s="12"/>
    </row>
    <row r="315" spans="1:32" s="106" customFormat="1" x14ac:dyDescent="0.2">
      <c r="A315" s="12"/>
      <c r="B315" s="12"/>
      <c r="C315" s="13"/>
      <c r="D315" s="13"/>
      <c r="E315" s="13"/>
      <c r="F315" s="12"/>
      <c r="G315" s="16"/>
      <c r="H315" s="16"/>
      <c r="I315" s="16"/>
      <c r="J315" s="13"/>
      <c r="K315" s="13"/>
      <c r="L315" s="13"/>
      <c r="M315" s="13"/>
      <c r="N315" s="12"/>
      <c r="O315" s="16"/>
      <c r="P315" s="16"/>
      <c r="R315" s="12"/>
      <c r="S315" s="12"/>
      <c r="T315" s="12"/>
      <c r="U315" s="12"/>
      <c r="V315" s="12"/>
      <c r="W315" s="12"/>
      <c r="X315" s="12"/>
      <c r="Y315" s="12"/>
      <c r="Z315" s="12"/>
      <c r="AA315" s="12"/>
      <c r="AB315" s="12"/>
      <c r="AC315" s="12"/>
      <c r="AD315" s="12"/>
      <c r="AE315" s="12"/>
      <c r="AF315" s="12"/>
    </row>
    <row r="316" spans="1:32" s="106" customFormat="1" x14ac:dyDescent="0.2">
      <c r="A316" s="12"/>
      <c r="B316" s="12"/>
      <c r="C316" s="13"/>
      <c r="D316" s="13"/>
      <c r="E316" s="13"/>
      <c r="F316" s="12"/>
      <c r="G316" s="16"/>
      <c r="H316" s="16"/>
      <c r="I316" s="16"/>
      <c r="J316" s="13"/>
      <c r="K316" s="13"/>
      <c r="L316" s="13"/>
      <c r="M316" s="13"/>
      <c r="N316" s="12"/>
      <c r="O316" s="16"/>
      <c r="P316" s="16"/>
      <c r="R316" s="12"/>
      <c r="S316" s="12"/>
      <c r="T316" s="12"/>
      <c r="U316" s="12"/>
      <c r="V316" s="12"/>
      <c r="W316" s="12"/>
      <c r="X316" s="12"/>
      <c r="Y316" s="12"/>
      <c r="Z316" s="12"/>
      <c r="AA316" s="12"/>
      <c r="AB316" s="12"/>
      <c r="AC316" s="12"/>
      <c r="AD316" s="12"/>
      <c r="AE316" s="12"/>
      <c r="AF316" s="12"/>
    </row>
    <row r="317" spans="1:32" s="106" customFormat="1" x14ac:dyDescent="0.2">
      <c r="A317" s="12"/>
      <c r="B317" s="12"/>
      <c r="C317" s="13"/>
      <c r="D317" s="13"/>
      <c r="E317" s="13"/>
      <c r="F317" s="12"/>
      <c r="G317" s="16"/>
      <c r="H317" s="16"/>
      <c r="I317" s="16"/>
      <c r="J317" s="13"/>
      <c r="K317" s="13"/>
      <c r="L317" s="13"/>
      <c r="M317" s="13"/>
      <c r="N317" s="12"/>
      <c r="O317" s="16"/>
      <c r="P317" s="16"/>
      <c r="R317" s="12"/>
      <c r="S317" s="12"/>
      <c r="T317" s="12"/>
      <c r="U317" s="12"/>
      <c r="V317" s="12"/>
      <c r="W317" s="12"/>
      <c r="X317" s="12"/>
      <c r="Y317" s="12"/>
      <c r="Z317" s="12"/>
      <c r="AA317" s="12"/>
      <c r="AB317" s="12"/>
      <c r="AC317" s="12"/>
      <c r="AD317" s="12"/>
      <c r="AE317" s="12"/>
      <c r="AF317" s="12"/>
    </row>
    <row r="318" spans="1:32" s="106" customFormat="1" x14ac:dyDescent="0.2">
      <c r="A318" s="12"/>
      <c r="B318" s="12"/>
      <c r="C318" s="13"/>
      <c r="D318" s="13"/>
      <c r="E318" s="13"/>
      <c r="F318" s="12"/>
      <c r="G318" s="16"/>
      <c r="H318" s="16"/>
      <c r="I318" s="16"/>
      <c r="J318" s="13"/>
      <c r="K318" s="13"/>
      <c r="L318" s="13"/>
      <c r="M318" s="13"/>
      <c r="N318" s="12"/>
      <c r="O318" s="16"/>
      <c r="P318" s="16"/>
      <c r="R318" s="12"/>
      <c r="S318" s="12"/>
      <c r="T318" s="12"/>
      <c r="U318" s="12"/>
      <c r="V318" s="12"/>
      <c r="W318" s="12"/>
      <c r="X318" s="12"/>
      <c r="Y318" s="12"/>
      <c r="Z318" s="12"/>
      <c r="AA318" s="12"/>
      <c r="AB318" s="12"/>
      <c r="AC318" s="12"/>
      <c r="AD318" s="12"/>
      <c r="AE318" s="12"/>
      <c r="AF318" s="12"/>
    </row>
    <row r="319" spans="1:32" s="106" customFormat="1" x14ac:dyDescent="0.2">
      <c r="A319" s="12"/>
      <c r="B319" s="12"/>
      <c r="C319" s="13"/>
      <c r="D319" s="13"/>
      <c r="E319" s="13"/>
      <c r="F319" s="12"/>
      <c r="G319" s="16"/>
      <c r="H319" s="16"/>
      <c r="I319" s="16"/>
      <c r="J319" s="13"/>
      <c r="K319" s="13"/>
      <c r="L319" s="13"/>
      <c r="M319" s="13"/>
      <c r="N319" s="12"/>
      <c r="O319" s="16"/>
      <c r="P319" s="16"/>
      <c r="R319" s="12"/>
      <c r="S319" s="12"/>
      <c r="T319" s="12"/>
      <c r="U319" s="12"/>
      <c r="V319" s="12"/>
      <c r="W319" s="12"/>
      <c r="X319" s="12"/>
      <c r="Y319" s="12"/>
      <c r="Z319" s="12"/>
      <c r="AA319" s="12"/>
      <c r="AB319" s="12"/>
      <c r="AC319" s="12"/>
      <c r="AD319" s="12"/>
      <c r="AE319" s="12"/>
      <c r="AF319" s="12"/>
    </row>
    <row r="320" spans="1:32" s="106" customFormat="1" x14ac:dyDescent="0.2">
      <c r="A320" s="12"/>
      <c r="B320" s="12"/>
      <c r="C320" s="13"/>
      <c r="D320" s="13"/>
      <c r="E320" s="13"/>
      <c r="F320" s="12"/>
      <c r="G320" s="16"/>
      <c r="H320" s="16"/>
      <c r="I320" s="16"/>
      <c r="J320" s="13"/>
      <c r="K320" s="13"/>
      <c r="L320" s="13"/>
      <c r="M320" s="13"/>
      <c r="N320" s="12"/>
      <c r="O320" s="16"/>
      <c r="P320" s="16"/>
      <c r="R320" s="12"/>
      <c r="S320" s="12"/>
      <c r="T320" s="12"/>
      <c r="U320" s="12"/>
      <c r="V320" s="12"/>
      <c r="W320" s="12"/>
      <c r="X320" s="12"/>
      <c r="Y320" s="12"/>
      <c r="Z320" s="12"/>
      <c r="AA320" s="12"/>
      <c r="AB320" s="12"/>
      <c r="AC320" s="12"/>
      <c r="AD320" s="12"/>
      <c r="AE320" s="12"/>
      <c r="AF320" s="12"/>
    </row>
    <row r="321" spans="1:32" s="106" customFormat="1" x14ac:dyDescent="0.2">
      <c r="A321" s="12"/>
      <c r="B321" s="12"/>
      <c r="C321" s="13"/>
      <c r="D321" s="13"/>
      <c r="E321" s="13"/>
      <c r="F321" s="12"/>
      <c r="G321" s="16"/>
      <c r="H321" s="16"/>
      <c r="I321" s="16"/>
      <c r="J321" s="13"/>
      <c r="K321" s="13"/>
      <c r="L321" s="13"/>
      <c r="M321" s="13"/>
      <c r="N321" s="12"/>
      <c r="O321" s="16"/>
      <c r="P321" s="16"/>
      <c r="R321" s="12"/>
      <c r="S321" s="12"/>
      <c r="T321" s="12"/>
      <c r="U321" s="12"/>
      <c r="V321" s="12"/>
      <c r="W321" s="12"/>
      <c r="X321" s="12"/>
      <c r="Y321" s="12"/>
      <c r="Z321" s="12"/>
      <c r="AA321" s="12"/>
      <c r="AB321" s="12"/>
      <c r="AC321" s="12"/>
      <c r="AD321" s="12"/>
      <c r="AE321" s="12"/>
      <c r="AF321" s="12"/>
    </row>
    <row r="322" spans="1:32" s="106" customFormat="1" x14ac:dyDescent="0.2">
      <c r="A322" s="12"/>
      <c r="B322" s="12"/>
      <c r="C322" s="13"/>
      <c r="D322" s="13"/>
      <c r="E322" s="13"/>
      <c r="F322" s="12"/>
      <c r="G322" s="16"/>
      <c r="H322" s="16"/>
      <c r="I322" s="16"/>
      <c r="J322" s="13"/>
      <c r="K322" s="13"/>
      <c r="L322" s="13"/>
      <c r="M322" s="13"/>
      <c r="N322" s="12"/>
      <c r="O322" s="16"/>
      <c r="P322" s="16"/>
      <c r="R322" s="12"/>
      <c r="S322" s="12"/>
      <c r="T322" s="12"/>
      <c r="U322" s="12"/>
      <c r="V322" s="12"/>
      <c r="W322" s="12"/>
      <c r="X322" s="12"/>
      <c r="Y322" s="12"/>
      <c r="Z322" s="12"/>
      <c r="AA322" s="12"/>
      <c r="AB322" s="12"/>
      <c r="AC322" s="12"/>
      <c r="AD322" s="12"/>
      <c r="AE322" s="12"/>
      <c r="AF322" s="12"/>
    </row>
    <row r="323" spans="1:32" s="106" customFormat="1" x14ac:dyDescent="0.2">
      <c r="A323" s="12"/>
      <c r="B323" s="12"/>
      <c r="C323" s="13"/>
      <c r="D323" s="13"/>
      <c r="E323" s="13"/>
      <c r="F323" s="12"/>
      <c r="G323" s="16"/>
      <c r="H323" s="16"/>
      <c r="I323" s="16"/>
      <c r="J323" s="13"/>
      <c r="K323" s="13"/>
      <c r="L323" s="13"/>
      <c r="M323" s="13"/>
      <c r="N323" s="12"/>
      <c r="O323" s="16"/>
      <c r="P323" s="16"/>
      <c r="R323" s="12"/>
      <c r="S323" s="12"/>
      <c r="T323" s="12"/>
      <c r="U323" s="12"/>
      <c r="V323" s="12"/>
      <c r="W323" s="12"/>
      <c r="X323" s="12"/>
      <c r="Y323" s="12"/>
      <c r="Z323" s="12"/>
      <c r="AA323" s="12"/>
      <c r="AB323" s="12"/>
      <c r="AC323" s="12"/>
      <c r="AD323" s="12"/>
      <c r="AE323" s="12"/>
      <c r="AF323" s="12"/>
    </row>
    <row r="324" spans="1:32" s="106" customFormat="1" x14ac:dyDescent="0.2">
      <c r="A324" s="12"/>
      <c r="B324" s="12"/>
      <c r="C324" s="13"/>
      <c r="D324" s="13"/>
      <c r="E324" s="13"/>
      <c r="F324" s="12"/>
      <c r="G324" s="16"/>
      <c r="H324" s="16"/>
      <c r="I324" s="16"/>
      <c r="J324" s="13"/>
      <c r="K324" s="13"/>
      <c r="L324" s="13"/>
      <c r="M324" s="13"/>
      <c r="N324" s="12"/>
      <c r="O324" s="16"/>
      <c r="P324" s="16"/>
      <c r="R324" s="12"/>
      <c r="S324" s="12"/>
      <c r="T324" s="12"/>
      <c r="U324" s="12"/>
      <c r="V324" s="12"/>
      <c r="W324" s="12"/>
      <c r="X324" s="12"/>
      <c r="Y324" s="12"/>
      <c r="Z324" s="12"/>
      <c r="AA324" s="12"/>
      <c r="AB324" s="12"/>
      <c r="AC324" s="12"/>
      <c r="AD324" s="12"/>
      <c r="AE324" s="12"/>
      <c r="AF324" s="12"/>
    </row>
    <row r="325" spans="1:32" s="106" customFormat="1" x14ac:dyDescent="0.2">
      <c r="A325" s="12"/>
      <c r="B325" s="12"/>
      <c r="C325" s="13"/>
      <c r="D325" s="13"/>
      <c r="E325" s="13"/>
      <c r="F325" s="12"/>
      <c r="G325" s="16"/>
      <c r="H325" s="16"/>
      <c r="I325" s="16"/>
      <c r="J325" s="13"/>
      <c r="K325" s="13"/>
      <c r="L325" s="13"/>
      <c r="M325" s="13"/>
      <c r="N325" s="12"/>
      <c r="O325" s="16"/>
      <c r="P325" s="16"/>
      <c r="R325" s="12"/>
      <c r="S325" s="12"/>
      <c r="T325" s="12"/>
      <c r="U325" s="12"/>
      <c r="V325" s="12"/>
      <c r="W325" s="12"/>
      <c r="X325" s="12"/>
      <c r="Y325" s="12"/>
      <c r="Z325" s="12"/>
      <c r="AA325" s="12"/>
      <c r="AB325" s="12"/>
      <c r="AC325" s="12"/>
      <c r="AD325" s="12"/>
      <c r="AE325" s="12"/>
      <c r="AF325" s="12"/>
    </row>
    <row r="326" spans="1:32" s="106" customFormat="1" x14ac:dyDescent="0.2">
      <c r="A326" s="12"/>
      <c r="B326" s="12"/>
      <c r="C326" s="13"/>
      <c r="D326" s="13"/>
      <c r="E326" s="13"/>
      <c r="F326" s="12"/>
      <c r="G326" s="16"/>
      <c r="H326" s="16"/>
      <c r="I326" s="16"/>
      <c r="J326" s="13"/>
      <c r="K326" s="13"/>
      <c r="L326" s="13"/>
      <c r="M326" s="13"/>
      <c r="N326" s="12"/>
      <c r="O326" s="16"/>
      <c r="P326" s="16"/>
      <c r="R326" s="12"/>
      <c r="S326" s="12"/>
      <c r="T326" s="12"/>
      <c r="U326" s="12"/>
      <c r="V326" s="12"/>
      <c r="W326" s="12"/>
      <c r="X326" s="12"/>
      <c r="Y326" s="12"/>
      <c r="Z326" s="12"/>
      <c r="AA326" s="12"/>
      <c r="AB326" s="12"/>
      <c r="AC326" s="12"/>
      <c r="AD326" s="12"/>
      <c r="AE326" s="12"/>
      <c r="AF326" s="12"/>
    </row>
    <row r="327" spans="1:32" s="106" customFormat="1" x14ac:dyDescent="0.2">
      <c r="A327" s="12"/>
      <c r="B327" s="12"/>
      <c r="C327" s="13"/>
      <c r="D327" s="13"/>
      <c r="E327" s="13"/>
      <c r="F327" s="12"/>
      <c r="G327" s="16"/>
      <c r="H327" s="16"/>
      <c r="I327" s="16"/>
      <c r="J327" s="13"/>
      <c r="K327" s="13"/>
      <c r="L327" s="13"/>
      <c r="M327" s="13"/>
      <c r="N327" s="12"/>
      <c r="O327" s="16"/>
      <c r="P327" s="16"/>
      <c r="R327" s="12"/>
      <c r="S327" s="12"/>
      <c r="T327" s="12"/>
      <c r="U327" s="12"/>
      <c r="V327" s="12"/>
      <c r="W327" s="12"/>
      <c r="X327" s="12"/>
      <c r="Y327" s="12"/>
      <c r="Z327" s="12"/>
      <c r="AA327" s="12"/>
      <c r="AB327" s="12"/>
      <c r="AC327" s="12"/>
      <c r="AD327" s="12"/>
      <c r="AE327" s="12"/>
      <c r="AF327" s="12"/>
    </row>
    <row r="328" spans="1:32" s="106" customFormat="1" x14ac:dyDescent="0.2">
      <c r="A328" s="12"/>
      <c r="B328" s="12"/>
      <c r="C328" s="13"/>
      <c r="D328" s="13"/>
      <c r="E328" s="13"/>
      <c r="F328" s="12"/>
      <c r="G328" s="16"/>
      <c r="H328" s="16"/>
      <c r="I328" s="16"/>
      <c r="J328" s="13"/>
      <c r="K328" s="13"/>
      <c r="L328" s="13"/>
      <c r="M328" s="13"/>
      <c r="N328" s="12"/>
      <c r="O328" s="16"/>
      <c r="P328" s="16"/>
      <c r="R328" s="12"/>
      <c r="S328" s="12"/>
      <c r="T328" s="12"/>
      <c r="U328" s="12"/>
      <c r="V328" s="12"/>
      <c r="W328" s="12"/>
      <c r="X328" s="12"/>
      <c r="Y328" s="12"/>
      <c r="Z328" s="12"/>
      <c r="AA328" s="12"/>
      <c r="AB328" s="12"/>
      <c r="AC328" s="12"/>
      <c r="AD328" s="12"/>
      <c r="AE328" s="12"/>
      <c r="AF328" s="12"/>
    </row>
    <row r="329" spans="1:32" s="106" customFormat="1" x14ac:dyDescent="0.2">
      <c r="A329" s="12"/>
      <c r="B329" s="12"/>
      <c r="C329" s="13"/>
      <c r="D329" s="13"/>
      <c r="E329" s="13"/>
      <c r="F329" s="12"/>
      <c r="G329" s="16"/>
      <c r="H329" s="16"/>
      <c r="I329" s="16"/>
      <c r="J329" s="13"/>
      <c r="K329" s="13"/>
      <c r="L329" s="13"/>
      <c r="M329" s="13"/>
      <c r="N329" s="12"/>
      <c r="O329" s="16"/>
      <c r="P329" s="16"/>
      <c r="R329" s="12"/>
      <c r="S329" s="12"/>
      <c r="T329" s="12"/>
      <c r="U329" s="12"/>
      <c r="V329" s="12"/>
      <c r="W329" s="12"/>
      <c r="X329" s="12"/>
      <c r="Y329" s="12"/>
      <c r="Z329" s="12"/>
      <c r="AA329" s="12"/>
      <c r="AB329" s="12"/>
      <c r="AC329" s="12"/>
      <c r="AD329" s="12"/>
      <c r="AE329" s="12"/>
      <c r="AF329" s="12"/>
    </row>
    <row r="330" spans="1:32" s="106" customFormat="1" x14ac:dyDescent="0.2">
      <c r="A330" s="12"/>
      <c r="B330" s="12"/>
      <c r="C330" s="13"/>
      <c r="D330" s="13"/>
      <c r="E330" s="13"/>
      <c r="F330" s="12"/>
      <c r="G330" s="16"/>
      <c r="H330" s="16"/>
      <c r="I330" s="16"/>
      <c r="J330" s="13"/>
      <c r="K330" s="13"/>
      <c r="L330" s="13"/>
      <c r="M330" s="13"/>
      <c r="N330" s="12"/>
      <c r="O330" s="16"/>
      <c r="P330" s="16"/>
      <c r="R330" s="12"/>
      <c r="S330" s="12"/>
      <c r="T330" s="12"/>
      <c r="U330" s="12"/>
      <c r="V330" s="12"/>
      <c r="W330" s="12"/>
      <c r="X330" s="12"/>
      <c r="Y330" s="12"/>
      <c r="Z330" s="12"/>
      <c r="AA330" s="12"/>
      <c r="AB330" s="12"/>
      <c r="AC330" s="12"/>
      <c r="AD330" s="12"/>
      <c r="AE330" s="12"/>
      <c r="AF330" s="12"/>
    </row>
    <row r="331" spans="1:32" s="106" customFormat="1" x14ac:dyDescent="0.2">
      <c r="A331" s="12"/>
      <c r="B331" s="12"/>
      <c r="C331" s="13"/>
      <c r="D331" s="13"/>
      <c r="E331" s="13"/>
      <c r="F331" s="12"/>
      <c r="G331" s="16"/>
      <c r="H331" s="16"/>
      <c r="I331" s="16"/>
      <c r="J331" s="13"/>
      <c r="K331" s="13"/>
      <c r="L331" s="13"/>
      <c r="M331" s="13"/>
      <c r="N331" s="12"/>
      <c r="O331" s="16"/>
      <c r="P331" s="16"/>
      <c r="R331" s="12"/>
      <c r="S331" s="12"/>
      <c r="T331" s="12"/>
      <c r="U331" s="12"/>
      <c r="V331" s="12"/>
      <c r="W331" s="12"/>
      <c r="X331" s="12"/>
      <c r="Y331" s="12"/>
      <c r="Z331" s="12"/>
      <c r="AA331" s="12"/>
      <c r="AB331" s="12"/>
      <c r="AC331" s="12"/>
      <c r="AD331" s="12"/>
      <c r="AE331" s="12"/>
      <c r="AF331" s="12"/>
    </row>
    <row r="332" spans="1:32" s="106" customFormat="1" x14ac:dyDescent="0.2">
      <c r="A332" s="12"/>
      <c r="B332" s="12"/>
      <c r="C332" s="13"/>
      <c r="D332" s="13"/>
      <c r="E332" s="13"/>
      <c r="F332" s="12"/>
      <c r="G332" s="16"/>
      <c r="H332" s="16"/>
      <c r="I332" s="16"/>
      <c r="J332" s="13"/>
      <c r="K332" s="13"/>
      <c r="L332" s="13"/>
      <c r="M332" s="13"/>
      <c r="N332" s="12"/>
      <c r="O332" s="16"/>
      <c r="P332" s="16"/>
      <c r="R332" s="12"/>
      <c r="S332" s="12"/>
      <c r="T332" s="12"/>
      <c r="U332" s="12"/>
      <c r="V332" s="12"/>
      <c r="W332" s="12"/>
      <c r="X332" s="12"/>
      <c r="Y332" s="12"/>
      <c r="Z332" s="12"/>
      <c r="AA332" s="12"/>
      <c r="AB332" s="12"/>
      <c r="AC332" s="12"/>
      <c r="AD332" s="12"/>
      <c r="AE332" s="12"/>
      <c r="AF332" s="12"/>
    </row>
    <row r="333" spans="1:32" s="106" customFormat="1" x14ac:dyDescent="0.2">
      <c r="A333" s="12"/>
      <c r="B333" s="12"/>
      <c r="C333" s="13"/>
      <c r="D333" s="13"/>
      <c r="E333" s="13"/>
      <c r="F333" s="12"/>
      <c r="G333" s="16"/>
      <c r="H333" s="16"/>
      <c r="I333" s="16"/>
      <c r="J333" s="13"/>
      <c r="K333" s="13"/>
      <c r="L333" s="13"/>
      <c r="M333" s="13"/>
      <c r="N333" s="12"/>
      <c r="O333" s="16"/>
      <c r="P333" s="16"/>
      <c r="R333" s="12"/>
      <c r="S333" s="12"/>
      <c r="T333" s="12"/>
      <c r="U333" s="12"/>
      <c r="V333" s="12"/>
      <c r="W333" s="12"/>
      <c r="X333" s="12"/>
      <c r="Y333" s="12"/>
      <c r="Z333" s="12"/>
      <c r="AA333" s="12"/>
      <c r="AB333" s="12"/>
      <c r="AC333" s="12"/>
      <c r="AD333" s="12"/>
      <c r="AE333" s="12"/>
      <c r="AF333" s="12"/>
    </row>
    <row r="334" spans="1:32" s="106" customFormat="1" x14ac:dyDescent="0.2">
      <c r="A334" s="12"/>
      <c r="B334" s="12"/>
      <c r="C334" s="13"/>
      <c r="D334" s="13"/>
      <c r="E334" s="13"/>
      <c r="F334" s="12"/>
      <c r="G334" s="16"/>
      <c r="H334" s="16"/>
      <c r="I334" s="16"/>
      <c r="J334" s="13"/>
      <c r="K334" s="13"/>
      <c r="L334" s="13"/>
      <c r="M334" s="13"/>
      <c r="N334" s="12"/>
      <c r="O334" s="16"/>
      <c r="P334" s="16"/>
      <c r="R334" s="12"/>
      <c r="S334" s="12"/>
      <c r="T334" s="12"/>
      <c r="U334" s="12"/>
      <c r="V334" s="12"/>
      <c r="W334" s="12"/>
      <c r="X334" s="12"/>
      <c r="Y334" s="12"/>
      <c r="Z334" s="12"/>
      <c r="AA334" s="12"/>
      <c r="AB334" s="12"/>
      <c r="AC334" s="12"/>
      <c r="AD334" s="12"/>
      <c r="AE334" s="12"/>
      <c r="AF334" s="12"/>
    </row>
    <row r="335" spans="1:32" s="106" customFormat="1" x14ac:dyDescent="0.2">
      <c r="A335" s="12"/>
      <c r="B335" s="12"/>
      <c r="C335" s="13"/>
      <c r="D335" s="13"/>
      <c r="E335" s="13"/>
      <c r="F335" s="12"/>
      <c r="G335" s="16"/>
      <c r="H335" s="16"/>
      <c r="I335" s="16"/>
      <c r="J335" s="13"/>
      <c r="K335" s="13"/>
      <c r="L335" s="13"/>
      <c r="M335" s="13"/>
      <c r="N335" s="12"/>
      <c r="O335" s="16"/>
      <c r="P335" s="16"/>
      <c r="R335" s="12"/>
      <c r="S335" s="12"/>
      <c r="T335" s="12"/>
      <c r="U335" s="12"/>
      <c r="V335" s="12"/>
      <c r="W335" s="12"/>
      <c r="X335" s="12"/>
      <c r="Y335" s="12"/>
      <c r="Z335" s="12"/>
      <c r="AA335" s="12"/>
      <c r="AB335" s="12"/>
      <c r="AC335" s="12"/>
      <c r="AD335" s="12"/>
      <c r="AE335" s="12"/>
      <c r="AF335" s="12"/>
    </row>
    <row r="336" spans="1:32" s="106" customFormat="1" x14ac:dyDescent="0.2">
      <c r="A336" s="12"/>
      <c r="B336" s="12"/>
      <c r="C336" s="13"/>
      <c r="D336" s="13"/>
      <c r="E336" s="13"/>
      <c r="F336" s="12"/>
      <c r="G336" s="16"/>
      <c r="H336" s="16"/>
      <c r="I336" s="16"/>
      <c r="J336" s="13"/>
      <c r="K336" s="13"/>
      <c r="L336" s="13"/>
      <c r="M336" s="13"/>
      <c r="N336" s="12"/>
      <c r="O336" s="16"/>
      <c r="P336" s="16"/>
      <c r="R336" s="12"/>
      <c r="S336" s="12"/>
      <c r="T336" s="12"/>
      <c r="U336" s="12"/>
      <c r="V336" s="12"/>
      <c r="W336" s="12"/>
      <c r="X336" s="12"/>
      <c r="Y336" s="12"/>
      <c r="Z336" s="12"/>
      <c r="AA336" s="12"/>
      <c r="AB336" s="12"/>
      <c r="AC336" s="12"/>
      <c r="AD336" s="12"/>
      <c r="AE336" s="12"/>
      <c r="AF336" s="12"/>
    </row>
    <row r="337" spans="1:32" s="106" customFormat="1" x14ac:dyDescent="0.2">
      <c r="A337" s="12"/>
      <c r="B337" s="12"/>
      <c r="C337" s="13"/>
      <c r="D337" s="13"/>
      <c r="E337" s="13"/>
      <c r="F337" s="12"/>
      <c r="G337" s="16"/>
      <c r="H337" s="16"/>
      <c r="I337" s="16"/>
      <c r="J337" s="13"/>
      <c r="K337" s="13"/>
      <c r="L337" s="13"/>
      <c r="M337" s="13"/>
      <c r="N337" s="12"/>
      <c r="O337" s="16"/>
      <c r="P337" s="16"/>
      <c r="R337" s="12"/>
      <c r="S337" s="12"/>
      <c r="T337" s="12"/>
      <c r="U337" s="12"/>
      <c r="V337" s="12"/>
      <c r="W337" s="12"/>
      <c r="X337" s="12"/>
      <c r="Y337" s="12"/>
      <c r="Z337" s="12"/>
      <c r="AA337" s="12"/>
      <c r="AB337" s="12"/>
      <c r="AC337" s="12"/>
      <c r="AD337" s="12"/>
      <c r="AE337" s="12"/>
      <c r="AF337" s="12"/>
    </row>
    <row r="338" spans="1:32" s="106" customFormat="1" x14ac:dyDescent="0.2">
      <c r="A338" s="12"/>
      <c r="B338" s="12"/>
      <c r="C338" s="13"/>
      <c r="D338" s="13"/>
      <c r="E338" s="13"/>
      <c r="F338" s="12"/>
      <c r="G338" s="16"/>
      <c r="H338" s="16"/>
      <c r="I338" s="16"/>
      <c r="J338" s="13"/>
      <c r="K338" s="13"/>
      <c r="L338" s="13"/>
      <c r="M338" s="13"/>
      <c r="N338" s="12"/>
      <c r="O338" s="16"/>
      <c r="P338" s="16"/>
      <c r="R338" s="12"/>
      <c r="S338" s="12"/>
      <c r="T338" s="12"/>
      <c r="U338" s="12"/>
      <c r="V338" s="12"/>
      <c r="W338" s="12"/>
      <c r="X338" s="12"/>
      <c r="Y338" s="12"/>
      <c r="Z338" s="12"/>
      <c r="AA338" s="12"/>
      <c r="AB338" s="12"/>
      <c r="AC338" s="12"/>
      <c r="AD338" s="12"/>
      <c r="AE338" s="12"/>
      <c r="AF338" s="12"/>
    </row>
    <row r="339" spans="1:32" s="106" customFormat="1" x14ac:dyDescent="0.2">
      <c r="A339" s="12"/>
      <c r="B339" s="12"/>
      <c r="C339" s="13"/>
      <c r="D339" s="13"/>
      <c r="E339" s="13"/>
      <c r="F339" s="12"/>
      <c r="G339" s="16"/>
      <c r="H339" s="16"/>
      <c r="I339" s="16"/>
      <c r="J339" s="13"/>
      <c r="K339" s="13"/>
      <c r="L339" s="13"/>
      <c r="M339" s="13"/>
      <c r="N339" s="12"/>
      <c r="O339" s="16"/>
      <c r="P339" s="16"/>
      <c r="R339" s="12"/>
      <c r="S339" s="12"/>
      <c r="T339" s="12"/>
      <c r="U339" s="12"/>
      <c r="V339" s="12"/>
      <c r="W339" s="12"/>
      <c r="X339" s="12"/>
      <c r="Y339" s="12"/>
      <c r="Z339" s="12"/>
      <c r="AA339" s="12"/>
      <c r="AB339" s="12"/>
      <c r="AC339" s="12"/>
      <c r="AD339" s="12"/>
      <c r="AE339" s="12"/>
      <c r="AF339" s="12"/>
    </row>
    <row r="340" spans="1:32" s="106" customFormat="1" x14ac:dyDescent="0.2">
      <c r="A340" s="12"/>
      <c r="B340" s="12"/>
      <c r="C340" s="13"/>
      <c r="D340" s="13"/>
      <c r="E340" s="13"/>
      <c r="F340" s="12"/>
      <c r="G340" s="16"/>
      <c r="H340" s="16"/>
      <c r="I340" s="16"/>
      <c r="J340" s="13"/>
      <c r="K340" s="13"/>
      <c r="L340" s="13"/>
      <c r="M340" s="13"/>
      <c r="N340" s="12"/>
      <c r="O340" s="16"/>
      <c r="P340" s="16"/>
      <c r="R340" s="12"/>
      <c r="S340" s="12"/>
      <c r="T340" s="12"/>
      <c r="U340" s="12"/>
      <c r="V340" s="12"/>
      <c r="W340" s="12"/>
      <c r="X340" s="12"/>
      <c r="Y340" s="12"/>
      <c r="Z340" s="12"/>
      <c r="AA340" s="12"/>
      <c r="AB340" s="12"/>
      <c r="AC340" s="12"/>
      <c r="AD340" s="12"/>
      <c r="AE340" s="12"/>
      <c r="AF340" s="12"/>
    </row>
    <row r="341" spans="1:32" s="106" customFormat="1" x14ac:dyDescent="0.2">
      <c r="A341" s="12"/>
      <c r="B341" s="12"/>
      <c r="C341" s="13"/>
      <c r="D341" s="13"/>
      <c r="E341" s="13"/>
      <c r="F341" s="12"/>
      <c r="G341" s="16"/>
      <c r="H341" s="16"/>
      <c r="I341" s="16"/>
      <c r="J341" s="13"/>
      <c r="K341" s="13"/>
      <c r="L341" s="13"/>
      <c r="M341" s="13"/>
      <c r="N341" s="12"/>
      <c r="O341" s="16"/>
      <c r="P341" s="16"/>
      <c r="R341" s="12"/>
      <c r="S341" s="12"/>
      <c r="T341" s="12"/>
      <c r="U341" s="12"/>
      <c r="V341" s="12"/>
      <c r="W341" s="12"/>
      <c r="X341" s="12"/>
      <c r="Y341" s="12"/>
      <c r="Z341" s="12"/>
      <c r="AA341" s="12"/>
      <c r="AB341" s="12"/>
      <c r="AC341" s="12"/>
      <c r="AD341" s="12"/>
      <c r="AE341" s="12"/>
      <c r="AF341" s="12"/>
    </row>
    <row r="342" spans="1:32" s="106" customFormat="1" x14ac:dyDescent="0.2">
      <c r="A342" s="12"/>
      <c r="B342" s="12"/>
      <c r="C342" s="13"/>
      <c r="D342" s="13"/>
      <c r="E342" s="13"/>
      <c r="F342" s="12"/>
      <c r="G342" s="16"/>
      <c r="H342" s="16"/>
      <c r="I342" s="16"/>
      <c r="J342" s="13"/>
      <c r="K342" s="13"/>
      <c r="L342" s="13"/>
      <c r="M342" s="13"/>
      <c r="N342" s="12"/>
      <c r="O342" s="16"/>
      <c r="P342" s="16"/>
      <c r="R342" s="12"/>
      <c r="S342" s="12"/>
      <c r="T342" s="12"/>
      <c r="U342" s="12"/>
      <c r="V342" s="12"/>
      <c r="W342" s="12"/>
      <c r="X342" s="12"/>
      <c r="Y342" s="12"/>
      <c r="Z342" s="12"/>
      <c r="AA342" s="12"/>
      <c r="AB342" s="12"/>
      <c r="AC342" s="12"/>
      <c r="AD342" s="12"/>
      <c r="AE342" s="12"/>
      <c r="AF342" s="12"/>
    </row>
    <row r="343" spans="1:32" s="106" customFormat="1" x14ac:dyDescent="0.2">
      <c r="A343" s="12"/>
      <c r="B343" s="12"/>
      <c r="C343" s="13"/>
      <c r="D343" s="13"/>
      <c r="E343" s="13"/>
      <c r="F343" s="12"/>
      <c r="G343" s="16"/>
      <c r="H343" s="16"/>
      <c r="I343" s="16"/>
      <c r="J343" s="13"/>
      <c r="K343" s="13"/>
      <c r="L343" s="13"/>
      <c r="M343" s="13"/>
      <c r="N343" s="12"/>
      <c r="O343" s="16"/>
      <c r="P343" s="16"/>
      <c r="R343" s="12"/>
      <c r="S343" s="12"/>
      <c r="T343" s="12"/>
      <c r="U343" s="12"/>
      <c r="V343" s="12"/>
      <c r="W343" s="12"/>
      <c r="X343" s="12"/>
      <c r="Y343" s="12"/>
      <c r="Z343" s="12"/>
      <c r="AA343" s="12"/>
      <c r="AB343" s="12"/>
      <c r="AC343" s="12"/>
      <c r="AD343" s="12"/>
      <c r="AE343" s="12"/>
      <c r="AF343" s="12"/>
    </row>
    <row r="344" spans="1:32" s="106" customFormat="1" x14ac:dyDescent="0.2">
      <c r="A344" s="12"/>
      <c r="B344" s="12"/>
      <c r="C344" s="13"/>
      <c r="D344" s="13"/>
      <c r="E344" s="13"/>
      <c r="F344" s="12"/>
      <c r="G344" s="16"/>
      <c r="H344" s="16"/>
      <c r="I344" s="16"/>
      <c r="J344" s="13"/>
      <c r="K344" s="13"/>
      <c r="L344" s="13"/>
      <c r="M344" s="13"/>
      <c r="N344" s="12"/>
      <c r="O344" s="16"/>
      <c r="P344" s="16"/>
      <c r="R344" s="12"/>
      <c r="S344" s="12"/>
      <c r="T344" s="12"/>
      <c r="U344" s="12"/>
      <c r="V344" s="12"/>
      <c r="W344" s="12"/>
      <c r="X344" s="12"/>
      <c r="Y344" s="12"/>
      <c r="Z344" s="12"/>
      <c r="AA344" s="12"/>
      <c r="AB344" s="12"/>
      <c r="AC344" s="12"/>
      <c r="AD344" s="12"/>
      <c r="AE344" s="12"/>
      <c r="AF344" s="12"/>
    </row>
    <row r="345" spans="1:32" s="106" customFormat="1" x14ac:dyDescent="0.2">
      <c r="A345" s="12"/>
      <c r="B345" s="12"/>
      <c r="C345" s="13"/>
      <c r="D345" s="13"/>
      <c r="E345" s="13"/>
      <c r="F345" s="12"/>
      <c r="G345" s="16"/>
      <c r="H345" s="16"/>
      <c r="I345" s="16"/>
      <c r="J345" s="13"/>
      <c r="K345" s="13"/>
      <c r="L345" s="13"/>
      <c r="M345" s="13"/>
      <c r="N345" s="12"/>
      <c r="O345" s="16"/>
      <c r="P345" s="16"/>
      <c r="R345" s="12"/>
      <c r="S345" s="12"/>
      <c r="T345" s="12"/>
      <c r="U345" s="12"/>
      <c r="V345" s="12"/>
      <c r="W345" s="12"/>
      <c r="X345" s="12"/>
      <c r="Y345" s="12"/>
      <c r="Z345" s="12"/>
      <c r="AA345" s="12"/>
      <c r="AB345" s="12"/>
      <c r="AC345" s="12"/>
      <c r="AD345" s="12"/>
      <c r="AE345" s="12"/>
      <c r="AF345" s="12"/>
    </row>
    <row r="346" spans="1:32" s="106" customFormat="1" x14ac:dyDescent="0.2">
      <c r="A346" s="12"/>
      <c r="B346" s="12"/>
      <c r="C346" s="13"/>
      <c r="D346" s="13"/>
      <c r="E346" s="13"/>
      <c r="F346" s="12"/>
      <c r="G346" s="16"/>
      <c r="H346" s="16"/>
      <c r="I346" s="16"/>
      <c r="J346" s="13"/>
      <c r="K346" s="13"/>
      <c r="L346" s="13"/>
      <c r="M346" s="13"/>
      <c r="N346" s="12"/>
      <c r="O346" s="16"/>
      <c r="P346" s="16"/>
      <c r="R346" s="12"/>
      <c r="S346" s="12"/>
      <c r="T346" s="12"/>
      <c r="U346" s="12"/>
      <c r="V346" s="12"/>
      <c r="W346" s="12"/>
      <c r="X346" s="12"/>
      <c r="Y346" s="12"/>
      <c r="Z346" s="12"/>
      <c r="AA346" s="12"/>
      <c r="AB346" s="12"/>
      <c r="AC346" s="12"/>
      <c r="AD346" s="12"/>
      <c r="AE346" s="12"/>
      <c r="AF346" s="12"/>
    </row>
    <row r="347" spans="1:32" s="106" customFormat="1" x14ac:dyDescent="0.2">
      <c r="A347" s="12"/>
      <c r="B347" s="12"/>
      <c r="C347" s="13"/>
      <c r="D347" s="13"/>
      <c r="E347" s="13"/>
      <c r="F347" s="12"/>
      <c r="G347" s="16"/>
      <c r="H347" s="16"/>
      <c r="I347" s="16"/>
      <c r="J347" s="13"/>
      <c r="K347" s="13"/>
      <c r="L347" s="13"/>
      <c r="M347" s="13"/>
      <c r="N347" s="12"/>
      <c r="O347" s="16"/>
      <c r="P347" s="16"/>
      <c r="R347" s="12"/>
      <c r="S347" s="12"/>
      <c r="T347" s="12"/>
      <c r="U347" s="12"/>
      <c r="V347" s="12"/>
      <c r="W347" s="12"/>
      <c r="X347" s="12"/>
      <c r="Y347" s="12"/>
      <c r="Z347" s="12"/>
      <c r="AA347" s="12"/>
      <c r="AB347" s="12"/>
      <c r="AC347" s="12"/>
      <c r="AD347" s="12"/>
      <c r="AE347" s="12"/>
      <c r="AF347" s="12"/>
    </row>
    <row r="348" spans="1:32" s="106" customFormat="1" x14ac:dyDescent="0.2">
      <c r="A348" s="12"/>
      <c r="B348" s="12"/>
      <c r="C348" s="13"/>
      <c r="D348" s="13"/>
      <c r="E348" s="13"/>
      <c r="F348" s="12"/>
      <c r="G348" s="16"/>
      <c r="H348" s="16"/>
      <c r="I348" s="16"/>
      <c r="J348" s="13"/>
      <c r="K348" s="13"/>
      <c r="L348" s="13"/>
      <c r="M348" s="13"/>
      <c r="N348" s="12"/>
      <c r="O348" s="16"/>
      <c r="P348" s="16"/>
      <c r="R348" s="12"/>
      <c r="S348" s="12"/>
      <c r="T348" s="12"/>
      <c r="U348" s="12"/>
      <c r="V348" s="12"/>
      <c r="W348" s="12"/>
      <c r="X348" s="12"/>
      <c r="Y348" s="12"/>
      <c r="Z348" s="12"/>
      <c r="AA348" s="12"/>
      <c r="AB348" s="12"/>
      <c r="AC348" s="12"/>
      <c r="AD348" s="12"/>
      <c r="AE348" s="12"/>
      <c r="AF348" s="12"/>
    </row>
    <row r="349" spans="1:32" s="106" customFormat="1" x14ac:dyDescent="0.2">
      <c r="A349" s="12"/>
      <c r="B349" s="12"/>
      <c r="C349" s="13"/>
      <c r="D349" s="13"/>
      <c r="E349" s="13"/>
      <c r="F349" s="12"/>
      <c r="G349" s="16"/>
      <c r="H349" s="16"/>
      <c r="I349" s="16"/>
      <c r="J349" s="13"/>
      <c r="K349" s="13"/>
      <c r="L349" s="13"/>
      <c r="M349" s="13"/>
      <c r="N349" s="12"/>
      <c r="O349" s="16"/>
      <c r="P349" s="16"/>
      <c r="R349" s="12"/>
      <c r="S349" s="12"/>
      <c r="T349" s="12"/>
      <c r="U349" s="12"/>
      <c r="V349" s="12"/>
      <c r="W349" s="12"/>
      <c r="X349" s="12"/>
      <c r="Y349" s="12"/>
      <c r="Z349" s="12"/>
      <c r="AA349" s="12"/>
      <c r="AB349" s="12"/>
      <c r="AC349" s="12"/>
      <c r="AD349" s="12"/>
      <c r="AE349" s="12"/>
      <c r="AF349" s="12"/>
    </row>
    <row r="350" spans="1:32" s="106" customFormat="1" x14ac:dyDescent="0.2">
      <c r="A350" s="12"/>
      <c r="B350" s="12"/>
      <c r="C350" s="13"/>
      <c r="D350" s="13"/>
      <c r="E350" s="13"/>
      <c r="F350" s="12"/>
      <c r="G350" s="16"/>
      <c r="H350" s="16"/>
      <c r="I350" s="16"/>
      <c r="J350" s="13"/>
      <c r="K350" s="13"/>
      <c r="L350" s="13"/>
      <c r="M350" s="13"/>
      <c r="N350" s="12"/>
      <c r="O350" s="16"/>
      <c r="P350" s="16"/>
      <c r="R350" s="12"/>
      <c r="S350" s="12"/>
      <c r="T350" s="12"/>
      <c r="U350" s="12"/>
      <c r="V350" s="12"/>
      <c r="W350" s="12"/>
      <c r="X350" s="12"/>
      <c r="Y350" s="12"/>
      <c r="Z350" s="12"/>
      <c r="AA350" s="12"/>
      <c r="AB350" s="12"/>
      <c r="AC350" s="12"/>
      <c r="AD350" s="12"/>
      <c r="AE350" s="12"/>
      <c r="AF350" s="12"/>
    </row>
    <row r="351" spans="1:32" s="106" customFormat="1" x14ac:dyDescent="0.2">
      <c r="A351" s="12"/>
      <c r="B351" s="12"/>
      <c r="C351" s="13"/>
      <c r="D351" s="13"/>
      <c r="E351" s="13"/>
      <c r="F351" s="12"/>
      <c r="G351" s="16"/>
      <c r="H351" s="16"/>
      <c r="I351" s="16"/>
      <c r="J351" s="13"/>
      <c r="K351" s="13"/>
      <c r="L351" s="13"/>
      <c r="M351" s="13"/>
      <c r="N351" s="12"/>
      <c r="O351" s="16"/>
      <c r="P351" s="16"/>
      <c r="R351" s="12"/>
      <c r="S351" s="12"/>
      <c r="T351" s="12"/>
      <c r="U351" s="12"/>
      <c r="V351" s="12"/>
      <c r="W351" s="12"/>
      <c r="X351" s="12"/>
      <c r="Y351" s="12"/>
      <c r="Z351" s="12"/>
      <c r="AA351" s="12"/>
      <c r="AB351" s="12"/>
      <c r="AC351" s="12"/>
      <c r="AD351" s="12"/>
      <c r="AE351" s="12"/>
      <c r="AF351" s="12"/>
    </row>
    <row r="352" spans="1:32" s="106" customFormat="1" x14ac:dyDescent="0.2">
      <c r="A352" s="12"/>
      <c r="B352" s="12"/>
      <c r="C352" s="13"/>
      <c r="D352" s="13"/>
      <c r="E352" s="13"/>
      <c r="F352" s="12"/>
      <c r="G352" s="16"/>
      <c r="H352" s="16"/>
      <c r="I352" s="16"/>
      <c r="J352" s="13"/>
      <c r="K352" s="13"/>
      <c r="L352" s="13"/>
      <c r="M352" s="13"/>
      <c r="N352" s="12"/>
      <c r="O352" s="16"/>
      <c r="P352" s="16"/>
      <c r="R352" s="12"/>
      <c r="S352" s="12"/>
      <c r="T352" s="12"/>
      <c r="U352" s="12"/>
      <c r="V352" s="12"/>
      <c r="W352" s="12"/>
      <c r="X352" s="12"/>
      <c r="Y352" s="12"/>
      <c r="Z352" s="12"/>
      <c r="AA352" s="12"/>
      <c r="AB352" s="12"/>
      <c r="AC352" s="12"/>
      <c r="AD352" s="12"/>
      <c r="AE352" s="12"/>
      <c r="AF352" s="12"/>
    </row>
    <row r="353" spans="1:32" s="106" customFormat="1" x14ac:dyDescent="0.2">
      <c r="A353" s="12"/>
      <c r="B353" s="12"/>
      <c r="C353" s="13"/>
      <c r="D353" s="13"/>
      <c r="E353" s="13"/>
      <c r="F353" s="12"/>
      <c r="G353" s="16"/>
      <c r="H353" s="16"/>
      <c r="I353" s="16"/>
      <c r="J353" s="13"/>
      <c r="K353" s="13"/>
      <c r="L353" s="13"/>
      <c r="M353" s="13"/>
      <c r="N353" s="12"/>
      <c r="O353" s="16"/>
      <c r="P353" s="16"/>
      <c r="R353" s="12"/>
      <c r="S353" s="12"/>
      <c r="T353" s="12"/>
      <c r="U353" s="12"/>
      <c r="V353" s="12"/>
      <c r="W353" s="12"/>
      <c r="X353" s="12"/>
      <c r="Y353" s="12"/>
      <c r="Z353" s="12"/>
      <c r="AA353" s="12"/>
      <c r="AB353" s="12"/>
      <c r="AC353" s="12"/>
      <c r="AD353" s="12"/>
      <c r="AE353" s="12"/>
      <c r="AF353" s="12"/>
    </row>
    <row r="354" spans="1:32" s="106" customFormat="1" x14ac:dyDescent="0.2">
      <c r="A354" s="12"/>
      <c r="B354" s="12"/>
      <c r="C354" s="13"/>
      <c r="D354" s="13"/>
      <c r="E354" s="13"/>
      <c r="F354" s="12"/>
      <c r="G354" s="16"/>
      <c r="H354" s="16"/>
      <c r="I354" s="16"/>
      <c r="J354" s="13"/>
      <c r="K354" s="13"/>
      <c r="L354" s="13"/>
      <c r="M354" s="13"/>
      <c r="N354" s="12"/>
      <c r="O354" s="16"/>
      <c r="P354" s="16"/>
      <c r="R354" s="12"/>
      <c r="S354" s="12"/>
      <c r="T354" s="12"/>
      <c r="U354" s="12"/>
      <c r="V354" s="12"/>
      <c r="W354" s="12"/>
      <c r="X354" s="12"/>
      <c r="Y354" s="12"/>
      <c r="Z354" s="12"/>
      <c r="AA354" s="12"/>
      <c r="AB354" s="12"/>
      <c r="AC354" s="12"/>
      <c r="AD354" s="12"/>
      <c r="AE354" s="12"/>
      <c r="AF354" s="12"/>
    </row>
    <row r="355" spans="1:32" s="106" customFormat="1" x14ac:dyDescent="0.2">
      <c r="A355" s="12"/>
      <c r="B355" s="12"/>
      <c r="C355" s="13"/>
      <c r="D355" s="13"/>
      <c r="E355" s="13"/>
      <c r="F355" s="12"/>
      <c r="G355" s="16"/>
      <c r="H355" s="16"/>
      <c r="I355" s="16"/>
      <c r="J355" s="13"/>
      <c r="K355" s="13"/>
      <c r="L355" s="13"/>
      <c r="M355" s="13"/>
      <c r="N355" s="12"/>
      <c r="O355" s="16"/>
      <c r="P355" s="16"/>
      <c r="R355" s="12"/>
      <c r="S355" s="12"/>
      <c r="T355" s="12"/>
      <c r="U355" s="12"/>
      <c r="V355" s="12"/>
      <c r="W355" s="12"/>
      <c r="X355" s="12"/>
      <c r="Y355" s="12"/>
      <c r="Z355" s="12"/>
      <c r="AA355" s="12"/>
      <c r="AB355" s="12"/>
      <c r="AC355" s="12"/>
      <c r="AD355" s="12"/>
      <c r="AE355" s="12"/>
      <c r="AF355" s="12"/>
    </row>
    <row r="356" spans="1:32" s="106" customFormat="1" x14ac:dyDescent="0.2">
      <c r="A356" s="12"/>
      <c r="B356" s="12"/>
      <c r="C356" s="13"/>
      <c r="D356" s="13"/>
      <c r="E356" s="13"/>
      <c r="F356" s="12"/>
      <c r="G356" s="16"/>
      <c r="H356" s="16"/>
      <c r="I356" s="16"/>
      <c r="J356" s="13"/>
      <c r="K356" s="13"/>
      <c r="L356" s="13"/>
      <c r="M356" s="13"/>
      <c r="N356" s="12"/>
      <c r="O356" s="16"/>
      <c r="P356" s="16"/>
      <c r="R356" s="12"/>
      <c r="S356" s="12"/>
      <c r="T356" s="12"/>
      <c r="U356" s="12"/>
      <c r="V356" s="12"/>
      <c r="W356" s="12"/>
      <c r="X356" s="12"/>
      <c r="Y356" s="12"/>
      <c r="Z356" s="12"/>
      <c r="AA356" s="12"/>
      <c r="AB356" s="12"/>
      <c r="AC356" s="12"/>
      <c r="AD356" s="12"/>
      <c r="AE356" s="12"/>
      <c r="AF356" s="12"/>
    </row>
    <row r="357" spans="1:32" s="106" customFormat="1" x14ac:dyDescent="0.2">
      <c r="A357" s="12"/>
      <c r="B357" s="12"/>
      <c r="C357" s="13"/>
      <c r="D357" s="13"/>
      <c r="E357" s="13"/>
      <c r="F357" s="12"/>
      <c r="G357" s="16"/>
      <c r="H357" s="16"/>
      <c r="I357" s="16"/>
      <c r="J357" s="13"/>
      <c r="K357" s="13"/>
      <c r="L357" s="13"/>
      <c r="M357" s="13"/>
      <c r="N357" s="12"/>
      <c r="O357" s="16"/>
      <c r="P357" s="16"/>
      <c r="R357" s="12"/>
      <c r="S357" s="12"/>
      <c r="T357" s="12"/>
      <c r="U357" s="12"/>
      <c r="V357" s="12"/>
      <c r="W357" s="12"/>
      <c r="X357" s="12"/>
      <c r="Y357" s="12"/>
      <c r="Z357" s="12"/>
      <c r="AA357" s="12"/>
      <c r="AB357" s="12"/>
      <c r="AC357" s="12"/>
      <c r="AD357" s="12"/>
      <c r="AE357" s="12"/>
      <c r="AF357" s="12"/>
    </row>
    <row r="358" spans="1:32" s="106" customFormat="1" x14ac:dyDescent="0.2">
      <c r="A358" s="12"/>
      <c r="B358" s="12"/>
      <c r="C358" s="13"/>
      <c r="D358" s="13"/>
      <c r="E358" s="13"/>
      <c r="F358" s="12"/>
      <c r="G358" s="16"/>
      <c r="H358" s="16"/>
      <c r="I358" s="14"/>
      <c r="J358" s="13"/>
      <c r="K358" s="13"/>
      <c r="L358" s="13"/>
      <c r="M358" s="13"/>
      <c r="N358" s="12"/>
      <c r="O358" s="16"/>
      <c r="P358" s="16"/>
      <c r="R358" s="12"/>
      <c r="S358" s="12"/>
      <c r="T358" s="12"/>
      <c r="U358" s="12"/>
      <c r="V358" s="12"/>
      <c r="W358" s="12"/>
      <c r="X358" s="12"/>
      <c r="Y358" s="12"/>
      <c r="Z358" s="12"/>
      <c r="AA358" s="12"/>
      <c r="AB358" s="12"/>
      <c r="AC358" s="12"/>
      <c r="AD358" s="12"/>
      <c r="AE358" s="12"/>
      <c r="AF358" s="12"/>
    </row>
    <row r="359" spans="1:32" s="106" customFormat="1" x14ac:dyDescent="0.2">
      <c r="A359" s="12"/>
      <c r="B359" s="12"/>
      <c r="C359" s="13"/>
      <c r="D359" s="13"/>
      <c r="E359" s="13"/>
      <c r="F359" s="12"/>
      <c r="G359" s="16"/>
      <c r="H359" s="16"/>
      <c r="I359" s="14"/>
      <c r="J359" s="13"/>
      <c r="K359" s="13"/>
      <c r="L359" s="13"/>
      <c r="M359" s="13"/>
      <c r="N359" s="12"/>
      <c r="O359" s="16"/>
      <c r="P359" s="16"/>
      <c r="R359" s="12"/>
      <c r="S359" s="12"/>
      <c r="T359" s="12"/>
      <c r="U359" s="12"/>
      <c r="V359" s="12"/>
      <c r="W359" s="12"/>
      <c r="X359" s="12"/>
      <c r="Y359" s="12"/>
      <c r="Z359" s="12"/>
      <c r="AA359" s="12"/>
      <c r="AB359" s="12"/>
      <c r="AC359" s="12"/>
      <c r="AD359" s="12"/>
      <c r="AE359" s="12"/>
      <c r="AF359" s="12"/>
    </row>
    <row r="360" spans="1:32" s="106" customFormat="1" x14ac:dyDescent="0.2">
      <c r="A360" s="12"/>
      <c r="B360" s="12"/>
      <c r="C360" s="13"/>
      <c r="D360" s="13"/>
      <c r="E360" s="13"/>
      <c r="F360" s="12"/>
      <c r="G360" s="16"/>
      <c r="H360" s="16"/>
      <c r="I360" s="14"/>
      <c r="J360" s="13"/>
      <c r="K360" s="13"/>
      <c r="L360" s="13"/>
      <c r="M360" s="13"/>
      <c r="N360" s="12"/>
      <c r="O360" s="16"/>
      <c r="P360" s="16"/>
      <c r="R360" s="12"/>
      <c r="S360" s="12"/>
      <c r="T360" s="12"/>
      <c r="U360" s="12"/>
      <c r="V360" s="12"/>
      <c r="W360" s="12"/>
      <c r="X360" s="12"/>
      <c r="Y360" s="12"/>
      <c r="Z360" s="12"/>
      <c r="AA360" s="12"/>
      <c r="AB360" s="12"/>
      <c r="AC360" s="12"/>
      <c r="AD360" s="12"/>
      <c r="AE360" s="12"/>
      <c r="AF360" s="12"/>
    </row>
    <row r="361" spans="1:32" s="106" customFormat="1" x14ac:dyDescent="0.2">
      <c r="A361" s="12"/>
      <c r="B361" s="12"/>
      <c r="C361" s="13"/>
      <c r="D361" s="13"/>
      <c r="E361" s="13"/>
      <c r="F361" s="12"/>
      <c r="G361" s="16"/>
      <c r="H361" s="16"/>
      <c r="I361" s="14"/>
      <c r="J361" s="13"/>
      <c r="K361" s="13"/>
      <c r="L361" s="13"/>
      <c r="M361" s="13"/>
      <c r="N361" s="12"/>
      <c r="O361" s="16"/>
      <c r="P361" s="16"/>
      <c r="R361" s="12"/>
      <c r="S361" s="12"/>
      <c r="T361" s="12"/>
      <c r="U361" s="12"/>
      <c r="V361" s="12"/>
      <c r="W361" s="12"/>
      <c r="X361" s="12"/>
      <c r="Y361" s="12"/>
      <c r="Z361" s="12"/>
      <c r="AA361" s="12"/>
      <c r="AB361" s="12"/>
      <c r="AC361" s="12"/>
      <c r="AD361" s="12"/>
      <c r="AE361" s="12"/>
      <c r="AF361" s="12"/>
    </row>
  </sheetData>
  <mergeCells count="2">
    <mergeCell ref="V52:X52"/>
    <mergeCell ref="AC52:AE52"/>
  </mergeCells>
  <pageMargins left="0.78740157480314965" right="0.78740157480314965" top="0.98425196850393704" bottom="0.98425196850393704" header="0.51181102362204722" footer="0.51181102362204722"/>
  <pageSetup paperSize="9" scale="70"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13"/>
  <sheetViews>
    <sheetView topLeftCell="A10" zoomScale="85" zoomScaleNormal="85" workbookViewId="0">
      <selection activeCell="M73" sqref="M73"/>
    </sheetView>
  </sheetViews>
  <sheetFormatPr baseColWidth="10" defaultColWidth="11.44140625" defaultRowHeight="13.2" x14ac:dyDescent="0.25"/>
  <cols>
    <col min="1" max="1" width="39.109375" customWidth="1"/>
    <col min="2" max="2" width="19.88671875" style="4" customWidth="1"/>
    <col min="3" max="3" width="7" customWidth="1"/>
    <col min="4" max="4" width="15.33203125" style="43" customWidth="1"/>
    <col min="5" max="5" width="16.5546875" style="44" customWidth="1"/>
    <col min="6" max="6" width="11.5546875" style="43" customWidth="1"/>
    <col min="7" max="7" width="14.109375" style="43" customWidth="1"/>
    <col min="8" max="8" width="12.33203125" style="44" customWidth="1"/>
    <col min="9" max="9" width="10.6640625" style="43" customWidth="1"/>
    <col min="10" max="10" width="9.33203125" style="43" customWidth="1"/>
    <col min="11" max="11" width="14.6640625" style="43" customWidth="1"/>
    <col min="12" max="12" width="13.33203125" style="43" customWidth="1"/>
    <col min="13" max="13" width="10.5546875" style="43" customWidth="1"/>
    <col min="14" max="14" width="4.88671875" style="43" customWidth="1"/>
    <col min="15" max="15" width="13.44140625" style="43" customWidth="1"/>
    <col min="16" max="16" width="13.109375" style="43" customWidth="1"/>
    <col min="17" max="17" width="11.109375" style="43" customWidth="1"/>
    <col min="18" max="18" width="9.5546875" style="43" customWidth="1"/>
    <col min="19" max="19" width="11.88671875" style="43" customWidth="1"/>
    <col min="20" max="20" width="13.5546875" style="43" customWidth="1"/>
    <col min="21" max="21" width="3.109375" style="43" customWidth="1"/>
    <col min="22" max="22" width="13.109375" style="43" customWidth="1"/>
    <col min="23" max="23" width="3.88671875" style="43" customWidth="1"/>
    <col min="24" max="24" width="13.109375" style="43" customWidth="1"/>
    <col min="25" max="25" width="3.88671875" style="43" customWidth="1"/>
    <col min="26" max="26" width="20" customWidth="1"/>
  </cols>
  <sheetData>
    <row r="1" spans="1:26" ht="17.399999999999999" x14ac:dyDescent="0.3">
      <c r="B1" s="7" t="s">
        <v>78</v>
      </c>
    </row>
    <row r="2" spans="1:26" x14ac:dyDescent="0.25">
      <c r="B2" s="71" t="s">
        <v>81</v>
      </c>
      <c r="D2" s="45"/>
      <c r="E2" s="46"/>
      <c r="F2" s="45"/>
      <c r="G2" s="45"/>
      <c r="H2" s="46"/>
      <c r="I2" s="45"/>
      <c r="J2" s="45"/>
      <c r="K2" s="45"/>
      <c r="L2" s="45"/>
      <c r="M2" s="45"/>
      <c r="N2" s="45"/>
      <c r="S2" s="45"/>
      <c r="V2" s="45"/>
      <c r="W2" s="45"/>
      <c r="X2" s="45"/>
      <c r="Y2" s="45"/>
    </row>
    <row r="3" spans="1:26" x14ac:dyDescent="0.25">
      <c r="A3" s="71"/>
      <c r="B3" s="6"/>
      <c r="D3" s="70"/>
      <c r="E3" s="46"/>
      <c r="F3" s="45"/>
      <c r="G3" s="45"/>
      <c r="H3" s="46"/>
      <c r="I3" s="45"/>
      <c r="J3" s="45"/>
      <c r="K3" s="45"/>
      <c r="L3" s="45"/>
      <c r="M3" s="45"/>
      <c r="N3" s="45"/>
      <c r="O3" s="45" t="s">
        <v>69</v>
      </c>
      <c r="P3" s="45" t="s">
        <v>226</v>
      </c>
      <c r="Q3" s="124" t="s">
        <v>227</v>
      </c>
      <c r="R3" s="124" t="s">
        <v>224</v>
      </c>
      <c r="S3" s="124"/>
      <c r="T3" s="45"/>
      <c r="U3" s="45"/>
      <c r="V3" s="48" t="s">
        <v>51</v>
      </c>
      <c r="W3" s="45"/>
      <c r="X3" s="48" t="s">
        <v>51</v>
      </c>
      <c r="Y3" s="45"/>
    </row>
    <row r="4" spans="1:26" x14ac:dyDescent="0.25">
      <c r="A4" s="31" t="s">
        <v>0</v>
      </c>
      <c r="B4" s="32" t="s">
        <v>2</v>
      </c>
      <c r="D4" s="47" t="s">
        <v>36</v>
      </c>
      <c r="E4" s="47" t="s">
        <v>66</v>
      </c>
      <c r="F4" s="47" t="s">
        <v>37</v>
      </c>
      <c r="G4" s="47" t="s">
        <v>38</v>
      </c>
      <c r="H4" s="47" t="s">
        <v>65</v>
      </c>
      <c r="I4" s="47" t="s">
        <v>39</v>
      </c>
      <c r="J4" s="47" t="s">
        <v>67</v>
      </c>
      <c r="K4" s="47" t="s">
        <v>43</v>
      </c>
      <c r="L4" s="47" t="s">
        <v>40</v>
      </c>
      <c r="M4" s="47" t="s">
        <v>41</v>
      </c>
      <c r="N4" s="47"/>
      <c r="O4" s="47" t="s">
        <v>70</v>
      </c>
      <c r="P4" s="47" t="s">
        <v>68</v>
      </c>
      <c r="Q4" s="125" t="s">
        <v>225</v>
      </c>
      <c r="R4" s="125" t="s">
        <v>225</v>
      </c>
      <c r="S4" s="125" t="s">
        <v>60</v>
      </c>
      <c r="T4" s="47"/>
      <c r="U4" s="47"/>
      <c r="V4" s="48" t="s">
        <v>70</v>
      </c>
      <c r="W4" s="47"/>
      <c r="X4" s="48" t="s">
        <v>82</v>
      </c>
      <c r="Y4" s="47"/>
    </row>
    <row r="5" spans="1:26" x14ac:dyDescent="0.25">
      <c r="A5" s="31"/>
      <c r="B5" s="32"/>
      <c r="D5" s="70" t="s">
        <v>84</v>
      </c>
      <c r="E5" s="47"/>
      <c r="F5" s="47"/>
      <c r="G5" s="47"/>
      <c r="H5" s="47"/>
      <c r="I5" s="47"/>
      <c r="J5" s="47"/>
      <c r="K5" s="47"/>
      <c r="L5" s="47"/>
      <c r="M5" s="47"/>
      <c r="N5" s="47"/>
      <c r="O5" s="47"/>
      <c r="P5" s="47"/>
      <c r="Q5" s="125"/>
      <c r="R5" s="125"/>
      <c r="S5" s="125"/>
      <c r="T5" s="47"/>
      <c r="U5" s="47"/>
      <c r="V5" s="48"/>
      <c r="W5" s="47"/>
      <c r="X5" s="48"/>
      <c r="Y5" s="47"/>
    </row>
    <row r="6" spans="1:26" s="10" customFormat="1" ht="12" customHeight="1" x14ac:dyDescent="0.25">
      <c r="A6" s="31"/>
      <c r="B6" s="32"/>
      <c r="D6" s="49"/>
      <c r="E6" s="49"/>
      <c r="F6" s="49"/>
      <c r="G6" s="49"/>
      <c r="H6" s="49"/>
      <c r="I6" s="49"/>
      <c r="J6" s="49"/>
      <c r="K6" s="49"/>
      <c r="L6" s="49"/>
      <c r="M6" s="49"/>
      <c r="N6" s="49"/>
      <c r="O6" s="49"/>
      <c r="P6" s="49"/>
      <c r="Q6" s="126"/>
      <c r="R6" s="126"/>
      <c r="S6" s="126"/>
      <c r="T6" s="49"/>
      <c r="U6" s="49"/>
      <c r="V6" s="50"/>
      <c r="W6" s="49"/>
      <c r="X6" s="50"/>
      <c r="Y6" s="49"/>
    </row>
    <row r="7" spans="1:26" x14ac:dyDescent="0.25">
      <c r="A7" s="11" t="s">
        <v>3</v>
      </c>
      <c r="B7" s="33">
        <v>0.75</v>
      </c>
      <c r="D7" s="51">
        <f>37330*1.03</f>
        <v>38449.9</v>
      </c>
      <c r="E7" s="52">
        <v>318</v>
      </c>
      <c r="F7" s="51"/>
      <c r="G7" s="51"/>
      <c r="H7" s="52"/>
      <c r="I7" s="53">
        <v>5561</v>
      </c>
      <c r="J7" s="53"/>
      <c r="K7" s="53"/>
      <c r="L7" s="51">
        <f>SUM(D7:K7)*0.12</f>
        <v>5319.4679999999998</v>
      </c>
      <c r="M7" s="51">
        <f>SUM(D7:L7)*0.141</f>
        <v>7000.4198879999994</v>
      </c>
      <c r="N7" s="53"/>
      <c r="O7" s="51">
        <f>SUM(D7:N7)</f>
        <v>56648.787887999999</v>
      </c>
      <c r="P7" s="51">
        <f>+O7*B7</f>
        <v>42486.590916000001</v>
      </c>
      <c r="Q7" s="127">
        <f>+P7/1.141</f>
        <v>37236.275999999998</v>
      </c>
      <c r="R7" s="127">
        <f>+P7-Q7</f>
        <v>5250.314916000003</v>
      </c>
      <c r="S7" s="127">
        <f>+D7*0.06</f>
        <v>2306.9940000000001</v>
      </c>
      <c r="T7" s="53"/>
      <c r="U7" s="53"/>
      <c r="V7" s="54">
        <f t="shared" ref="V7:V24" si="0">+P7+S7+T7</f>
        <v>44793.584916</v>
      </c>
      <c r="W7" s="53"/>
      <c r="X7" s="54">
        <f t="shared" ref="X7:X24" si="1">+V7*$S$59</f>
        <v>179174.339664</v>
      </c>
      <c r="Y7" s="53"/>
    </row>
    <row r="8" spans="1:26" x14ac:dyDescent="0.25">
      <c r="A8" s="11" t="s">
        <v>4</v>
      </c>
      <c r="B8" s="33">
        <v>0.75</v>
      </c>
      <c r="D8" s="55">
        <f>33278*1.03</f>
        <v>34276.340000000004</v>
      </c>
      <c r="E8" s="52">
        <v>318</v>
      </c>
      <c r="F8" s="55">
        <v>377</v>
      </c>
      <c r="G8" s="55"/>
      <c r="H8" s="56"/>
      <c r="I8" s="55">
        <v>4061</v>
      </c>
      <c r="J8" s="55"/>
      <c r="K8" s="55"/>
      <c r="L8" s="51">
        <f t="shared" ref="L8:L24" si="2">SUM(D8:K8)*0.12</f>
        <v>4683.8807999999999</v>
      </c>
      <c r="M8" s="51">
        <f t="shared" ref="M8:M48" si="3">SUM(D8:L8)*0.141</f>
        <v>6163.9871327999999</v>
      </c>
      <c r="N8" s="53"/>
      <c r="O8" s="51">
        <f t="shared" ref="O8:O24" si="4">SUM(D8:N8)</f>
        <v>49880.207932800004</v>
      </c>
      <c r="P8" s="51">
        <f t="shared" ref="P8:P24" si="5">+O8*B8</f>
        <v>37410.155949600005</v>
      </c>
      <c r="Q8" s="127">
        <f t="shared" ref="Q8:Q24" si="6">+P8/1.141</f>
        <v>32787.1656</v>
      </c>
      <c r="R8" s="127">
        <f t="shared" ref="R8:R23" si="7">+P8-Q8</f>
        <v>4622.9903496000043</v>
      </c>
      <c r="S8" s="127">
        <f t="shared" ref="S8:S24" si="8">+D8*0.06</f>
        <v>2056.5804000000003</v>
      </c>
      <c r="T8" s="53"/>
      <c r="U8" s="53"/>
      <c r="V8" s="54">
        <f t="shared" si="0"/>
        <v>39466.736349600003</v>
      </c>
      <c r="W8" s="53"/>
      <c r="X8" s="54">
        <f t="shared" si="1"/>
        <v>157866.94539840001</v>
      </c>
      <c r="Y8" s="53"/>
    </row>
    <row r="9" spans="1:26" x14ac:dyDescent="0.25">
      <c r="A9" s="11" t="s">
        <v>5</v>
      </c>
      <c r="B9" s="33">
        <v>1</v>
      </c>
      <c r="D9" s="55">
        <f>30064*1.03</f>
        <v>30965.920000000002</v>
      </c>
      <c r="E9" s="52">
        <v>318</v>
      </c>
      <c r="F9" s="55"/>
      <c r="G9" s="55"/>
      <c r="H9" s="56"/>
      <c r="I9" s="55">
        <v>5392</v>
      </c>
      <c r="J9" s="55"/>
      <c r="K9" s="55"/>
      <c r="L9" s="51">
        <f t="shared" si="2"/>
        <v>4401.1103999999996</v>
      </c>
      <c r="M9" s="51">
        <f t="shared" si="3"/>
        <v>5791.8612863999988</v>
      </c>
      <c r="N9" s="53"/>
      <c r="O9" s="51">
        <f t="shared" si="4"/>
        <v>46868.891686399991</v>
      </c>
      <c r="P9" s="51">
        <f t="shared" si="5"/>
        <v>46868.891686399991</v>
      </c>
      <c r="Q9" s="127">
        <f t="shared" si="6"/>
        <v>41077.030399999989</v>
      </c>
      <c r="R9" s="127">
        <f t="shared" si="7"/>
        <v>5791.8612864000024</v>
      </c>
      <c r="S9" s="127">
        <f t="shared" si="8"/>
        <v>1857.9552000000001</v>
      </c>
      <c r="T9" s="53"/>
      <c r="U9" s="53"/>
      <c r="V9" s="54">
        <f t="shared" si="0"/>
        <v>48726.846886399988</v>
      </c>
      <c r="W9" s="53"/>
      <c r="X9" s="54">
        <f t="shared" si="1"/>
        <v>194907.38754559995</v>
      </c>
      <c r="Y9" s="53"/>
      <c r="Z9" s="25" t="s">
        <v>55</v>
      </c>
    </row>
    <row r="10" spans="1:26" x14ac:dyDescent="0.25">
      <c r="A10" s="11" t="s">
        <v>6</v>
      </c>
      <c r="B10" s="33">
        <v>0.75</v>
      </c>
      <c r="D10" s="43">
        <f>30316*1.03</f>
        <v>31225.48</v>
      </c>
      <c r="E10" s="52">
        <v>318</v>
      </c>
      <c r="F10" s="43">
        <v>3276</v>
      </c>
      <c r="I10" s="43">
        <v>5744</v>
      </c>
      <c r="L10" s="51">
        <f t="shared" si="2"/>
        <v>4867.6175999999996</v>
      </c>
      <c r="M10" s="51">
        <f t="shared" si="3"/>
        <v>6405.7847615999981</v>
      </c>
      <c r="N10" s="53"/>
      <c r="O10" s="51">
        <f t="shared" si="4"/>
        <v>51836.882361599994</v>
      </c>
      <c r="P10" s="51">
        <f t="shared" si="5"/>
        <v>38877.661771199993</v>
      </c>
      <c r="Q10" s="127">
        <f t="shared" si="6"/>
        <v>34073.323199999992</v>
      </c>
      <c r="R10" s="127">
        <f t="shared" si="7"/>
        <v>4804.3385712000018</v>
      </c>
      <c r="S10" s="127">
        <f t="shared" si="8"/>
        <v>1873.5287999999998</v>
      </c>
      <c r="T10" s="53"/>
      <c r="U10" s="53"/>
      <c r="V10" s="54">
        <f t="shared" si="0"/>
        <v>40751.190571199993</v>
      </c>
      <c r="W10" s="53"/>
      <c r="X10" s="54">
        <f t="shared" si="1"/>
        <v>163004.76228479997</v>
      </c>
      <c r="Y10" s="53"/>
      <c r="Z10" s="24" t="s">
        <v>56</v>
      </c>
    </row>
    <row r="11" spans="1:26" x14ac:dyDescent="0.25">
      <c r="A11" s="11" t="s">
        <v>7</v>
      </c>
      <c r="B11" s="33">
        <v>1</v>
      </c>
      <c r="D11" s="43">
        <f>31148*1.03</f>
        <v>32082.440000000002</v>
      </c>
      <c r="E11" s="52">
        <v>318</v>
      </c>
      <c r="I11" s="43">
        <v>5317</v>
      </c>
      <c r="L11" s="51">
        <f t="shared" si="2"/>
        <v>4526.0928000000004</v>
      </c>
      <c r="M11" s="51">
        <f t="shared" si="3"/>
        <v>5956.3381247999996</v>
      </c>
      <c r="N11" s="53"/>
      <c r="O11" s="51">
        <f t="shared" si="4"/>
        <v>48199.870924800001</v>
      </c>
      <c r="P11" s="51">
        <f t="shared" si="5"/>
        <v>48199.870924800001</v>
      </c>
      <c r="Q11" s="127">
        <f t="shared" si="6"/>
        <v>42243.532800000001</v>
      </c>
      <c r="R11" s="127">
        <f t="shared" si="7"/>
        <v>5956.3381248000005</v>
      </c>
      <c r="S11" s="127">
        <f t="shared" si="8"/>
        <v>1924.9464</v>
      </c>
      <c r="T11" s="53"/>
      <c r="U11" s="53"/>
      <c r="V11" s="54">
        <f t="shared" si="0"/>
        <v>50124.817324800002</v>
      </c>
      <c r="W11" s="53"/>
      <c r="X11" s="54">
        <f t="shared" si="1"/>
        <v>200499.26929920001</v>
      </c>
      <c r="Y11" s="53"/>
      <c r="Z11" s="25" t="s">
        <v>57</v>
      </c>
    </row>
    <row r="12" spans="1:26" x14ac:dyDescent="0.25">
      <c r="A12" s="11" t="s">
        <v>8</v>
      </c>
      <c r="B12" s="33">
        <v>0.75</v>
      </c>
      <c r="D12" s="43">
        <f>32943*1.03</f>
        <v>33931.29</v>
      </c>
      <c r="E12" s="52">
        <v>318</v>
      </c>
      <c r="F12" s="43">
        <v>747</v>
      </c>
      <c r="I12" s="43">
        <v>5561</v>
      </c>
      <c r="L12" s="51">
        <f t="shared" si="2"/>
        <v>4866.8747999999996</v>
      </c>
      <c r="M12" s="51">
        <f t="shared" si="3"/>
        <v>6404.8072367999994</v>
      </c>
      <c r="N12" s="53"/>
      <c r="O12" s="51">
        <f t="shared" si="4"/>
        <v>51828.972036799998</v>
      </c>
      <c r="P12" s="51">
        <f t="shared" si="5"/>
        <v>38871.729027599999</v>
      </c>
      <c r="Q12" s="127">
        <f t="shared" si="6"/>
        <v>34068.123599999999</v>
      </c>
      <c r="R12" s="127">
        <f t="shared" si="7"/>
        <v>4803.6054275999995</v>
      </c>
      <c r="S12" s="127">
        <f t="shared" si="8"/>
        <v>2035.8774000000001</v>
      </c>
      <c r="T12" s="53"/>
      <c r="U12" s="53"/>
      <c r="V12" s="54">
        <f t="shared" si="0"/>
        <v>40907.606427599996</v>
      </c>
      <c r="W12" s="53"/>
      <c r="X12" s="54">
        <f t="shared" si="1"/>
        <v>163630.42571039998</v>
      </c>
      <c r="Y12" s="53"/>
      <c r="Z12" s="23" t="s">
        <v>58</v>
      </c>
    </row>
    <row r="13" spans="1:26" x14ac:dyDescent="0.25">
      <c r="A13" s="11" t="s">
        <v>13</v>
      </c>
      <c r="B13" s="33">
        <v>0.25</v>
      </c>
      <c r="D13" s="43">
        <f>33421*1.03</f>
        <v>34423.629999999997</v>
      </c>
      <c r="E13" s="52">
        <v>318</v>
      </c>
      <c r="I13" s="43">
        <v>5583</v>
      </c>
      <c r="L13" s="51">
        <f t="shared" si="2"/>
        <v>4838.9555999999993</v>
      </c>
      <c r="M13" s="51">
        <f t="shared" si="3"/>
        <v>6368.0655695999994</v>
      </c>
      <c r="N13" s="53"/>
      <c r="O13" s="51">
        <f t="shared" si="4"/>
        <v>51531.651169599994</v>
      </c>
      <c r="P13" s="51">
        <f t="shared" si="5"/>
        <v>12882.912792399999</v>
      </c>
      <c r="Q13" s="127">
        <f t="shared" si="6"/>
        <v>11290.896399999998</v>
      </c>
      <c r="R13" s="127">
        <f t="shared" si="7"/>
        <v>1592.0163924000008</v>
      </c>
      <c r="S13" s="127">
        <f t="shared" si="8"/>
        <v>2065.4177999999997</v>
      </c>
      <c r="T13" s="53"/>
      <c r="U13" s="53"/>
      <c r="V13" s="54">
        <f t="shared" si="0"/>
        <v>14948.330592399998</v>
      </c>
      <c r="W13" s="53"/>
      <c r="X13" s="54">
        <f t="shared" si="1"/>
        <v>59793.322369599991</v>
      </c>
      <c r="Y13" s="53"/>
      <c r="Z13" s="10"/>
    </row>
    <row r="14" spans="1:26" x14ac:dyDescent="0.25">
      <c r="A14" s="11" t="s">
        <v>14</v>
      </c>
      <c r="B14" s="33">
        <v>0.25</v>
      </c>
      <c r="D14" s="43">
        <f>33696*1.03</f>
        <v>34706.879999999997</v>
      </c>
      <c r="E14" s="52">
        <v>318</v>
      </c>
      <c r="F14" s="43">
        <v>764</v>
      </c>
      <c r="I14" s="43">
        <v>10061</v>
      </c>
      <c r="L14" s="51">
        <f t="shared" si="2"/>
        <v>5501.9855999999991</v>
      </c>
      <c r="M14" s="51">
        <f t="shared" si="3"/>
        <v>7240.6130495999987</v>
      </c>
      <c r="N14" s="53"/>
      <c r="O14" s="51">
        <f t="shared" si="4"/>
        <v>58592.478649599994</v>
      </c>
      <c r="P14" s="51">
        <f t="shared" si="5"/>
        <v>14648.119662399999</v>
      </c>
      <c r="Q14" s="127">
        <f t="shared" si="6"/>
        <v>12837.966399999999</v>
      </c>
      <c r="R14" s="127">
        <f t="shared" si="7"/>
        <v>1810.1532623999992</v>
      </c>
      <c r="S14" s="127">
        <f t="shared" si="8"/>
        <v>2082.4127999999996</v>
      </c>
      <c r="T14" s="53"/>
      <c r="U14" s="53"/>
      <c r="V14" s="54">
        <f t="shared" si="0"/>
        <v>16730.532462399999</v>
      </c>
      <c r="W14" s="53"/>
      <c r="X14" s="54">
        <f t="shared" si="1"/>
        <v>66922.129849599994</v>
      </c>
      <c r="Y14" s="53"/>
    </row>
    <row r="15" spans="1:26" x14ac:dyDescent="0.25">
      <c r="A15" s="11" t="s">
        <v>18</v>
      </c>
      <c r="B15" s="33">
        <v>0.25</v>
      </c>
      <c r="D15" s="43">
        <f>34653*1.03</f>
        <v>35692.590000000004</v>
      </c>
      <c r="E15" s="52">
        <v>318</v>
      </c>
      <c r="I15" s="43">
        <v>4349</v>
      </c>
      <c r="L15" s="51">
        <f t="shared" si="2"/>
        <v>4843.1508000000003</v>
      </c>
      <c r="M15" s="51">
        <f t="shared" si="3"/>
        <v>6373.5864528000002</v>
      </c>
      <c r="N15" s="53"/>
      <c r="O15" s="51">
        <f t="shared" si="4"/>
        <v>51576.327252800009</v>
      </c>
      <c r="P15" s="51">
        <f t="shared" si="5"/>
        <v>12894.081813200002</v>
      </c>
      <c r="Q15" s="127">
        <f t="shared" si="6"/>
        <v>11300.685200000002</v>
      </c>
      <c r="R15" s="127">
        <f t="shared" si="7"/>
        <v>1593.3966132000005</v>
      </c>
      <c r="S15" s="127">
        <f t="shared" si="8"/>
        <v>2141.5554000000002</v>
      </c>
      <c r="T15" s="53"/>
      <c r="U15" s="53"/>
      <c r="V15" s="54">
        <f t="shared" si="0"/>
        <v>15035.637213200003</v>
      </c>
      <c r="W15" s="53"/>
      <c r="X15" s="54">
        <f t="shared" si="1"/>
        <v>60142.548852800013</v>
      </c>
      <c r="Y15" s="53"/>
    </row>
    <row r="16" spans="1:26" x14ac:dyDescent="0.25">
      <c r="A16" s="11" t="s">
        <v>15</v>
      </c>
      <c r="B16" s="33">
        <v>0.25</v>
      </c>
      <c r="D16" s="43">
        <f>35443*1.03</f>
        <v>36506.29</v>
      </c>
      <c r="E16" s="52">
        <v>318</v>
      </c>
      <c r="F16" s="43">
        <v>1607</v>
      </c>
      <c r="I16" s="43">
        <v>3766</v>
      </c>
      <c r="L16" s="51">
        <f t="shared" si="2"/>
        <v>5063.6747999999998</v>
      </c>
      <c r="M16" s="51">
        <f t="shared" si="3"/>
        <v>6663.7960367999995</v>
      </c>
      <c r="N16" s="53"/>
      <c r="O16" s="51">
        <f t="shared" si="4"/>
        <v>53924.7608368</v>
      </c>
      <c r="P16" s="51">
        <f t="shared" si="5"/>
        <v>13481.1902092</v>
      </c>
      <c r="Q16" s="127">
        <f t="shared" si="6"/>
        <v>11815.2412</v>
      </c>
      <c r="R16" s="127">
        <f t="shared" si="7"/>
        <v>1665.9490091999996</v>
      </c>
      <c r="S16" s="127">
        <f t="shared" si="8"/>
        <v>2190.3773999999999</v>
      </c>
      <c r="T16" s="53"/>
      <c r="U16" s="53"/>
      <c r="V16" s="54">
        <f t="shared" si="0"/>
        <v>15671.567609199999</v>
      </c>
      <c r="W16" s="53"/>
      <c r="X16" s="54">
        <f t="shared" si="1"/>
        <v>62686.270436799998</v>
      </c>
      <c r="Y16" s="53"/>
    </row>
    <row r="17" spans="1:25" x14ac:dyDescent="0.25">
      <c r="A17" s="11" t="s">
        <v>16</v>
      </c>
      <c r="B17" s="33">
        <v>0.25</v>
      </c>
      <c r="D17" s="43">
        <f>38247*1.03</f>
        <v>39394.410000000003</v>
      </c>
      <c r="E17" s="52">
        <v>318</v>
      </c>
      <c r="F17" s="43">
        <v>3034</v>
      </c>
      <c r="I17" s="43">
        <v>3416</v>
      </c>
      <c r="L17" s="51">
        <f t="shared" si="2"/>
        <v>5539.4892</v>
      </c>
      <c r="M17" s="51">
        <f t="shared" si="3"/>
        <v>7289.9677871999993</v>
      </c>
      <c r="N17" s="53"/>
      <c r="O17" s="51">
        <f t="shared" si="4"/>
        <v>58991.866987200003</v>
      </c>
      <c r="P17" s="51">
        <f t="shared" si="5"/>
        <v>14747.966746800001</v>
      </c>
      <c r="Q17" s="127">
        <f t="shared" si="6"/>
        <v>12925.4748</v>
      </c>
      <c r="R17" s="127">
        <f t="shared" si="7"/>
        <v>1822.4919468000007</v>
      </c>
      <c r="S17" s="127">
        <f t="shared" si="8"/>
        <v>2363.6646000000001</v>
      </c>
      <c r="T17" s="53"/>
      <c r="U17" s="53"/>
      <c r="V17" s="54">
        <f t="shared" si="0"/>
        <v>17111.631346800001</v>
      </c>
      <c r="W17" s="53"/>
      <c r="X17" s="54">
        <f t="shared" si="1"/>
        <v>68446.525387200003</v>
      </c>
      <c r="Y17" s="53"/>
    </row>
    <row r="18" spans="1:25" x14ac:dyDescent="0.25">
      <c r="A18" s="11" t="s">
        <v>17</v>
      </c>
      <c r="B18" s="33">
        <v>0.25</v>
      </c>
      <c r="D18" s="43">
        <f>34943*1.03</f>
        <v>35991.29</v>
      </c>
      <c r="E18" s="52">
        <v>318</v>
      </c>
      <c r="F18" s="43">
        <v>396</v>
      </c>
      <c r="I18" s="43">
        <v>2952</v>
      </c>
      <c r="L18" s="51">
        <f t="shared" si="2"/>
        <v>4758.8747999999996</v>
      </c>
      <c r="M18" s="51">
        <f t="shared" si="3"/>
        <v>6262.6792367999988</v>
      </c>
      <c r="N18" s="53"/>
      <c r="O18" s="51">
        <f t="shared" si="4"/>
        <v>50678.844036800001</v>
      </c>
      <c r="P18" s="51">
        <f t="shared" si="5"/>
        <v>12669.7110092</v>
      </c>
      <c r="Q18" s="127">
        <f t="shared" si="6"/>
        <v>11104.0412</v>
      </c>
      <c r="R18" s="127">
        <f t="shared" si="7"/>
        <v>1565.6698092000006</v>
      </c>
      <c r="S18" s="127">
        <f t="shared" si="8"/>
        <v>2159.4773999999998</v>
      </c>
      <c r="T18" s="53"/>
      <c r="U18" s="53"/>
      <c r="V18" s="54">
        <f t="shared" si="0"/>
        <v>14829.1884092</v>
      </c>
      <c r="W18" s="53"/>
      <c r="X18" s="54">
        <f t="shared" si="1"/>
        <v>59316.7536368</v>
      </c>
      <c r="Y18" s="53"/>
    </row>
    <row r="19" spans="1:25" x14ac:dyDescent="0.25">
      <c r="A19" s="11" t="s">
        <v>10</v>
      </c>
      <c r="B19" s="33">
        <v>1</v>
      </c>
      <c r="D19" s="43">
        <f>31148*1.03</f>
        <v>32082.440000000002</v>
      </c>
      <c r="E19" s="52">
        <v>318</v>
      </c>
      <c r="F19" s="43">
        <v>8472</v>
      </c>
      <c r="H19" s="44">
        <v>1000</v>
      </c>
      <c r="I19" s="43">
        <v>349</v>
      </c>
      <c r="J19" s="43">
        <v>-280</v>
      </c>
      <c r="L19" s="51">
        <f t="shared" si="2"/>
        <v>5032.9728000000005</v>
      </c>
      <c r="M19" s="51">
        <f t="shared" si="3"/>
        <v>6623.3922048000004</v>
      </c>
      <c r="N19" s="53"/>
      <c r="O19" s="51">
        <f t="shared" si="4"/>
        <v>53597.805004800008</v>
      </c>
      <c r="P19" s="51">
        <f t="shared" si="5"/>
        <v>53597.805004800008</v>
      </c>
      <c r="Q19" s="127">
        <f t="shared" si="6"/>
        <v>46974.412800000006</v>
      </c>
      <c r="R19" s="127">
        <f t="shared" si="7"/>
        <v>6623.3922048000022</v>
      </c>
      <c r="S19" s="127">
        <f t="shared" si="8"/>
        <v>1924.9464</v>
      </c>
      <c r="T19" s="53"/>
      <c r="U19" s="53"/>
      <c r="V19" s="54">
        <f t="shared" si="0"/>
        <v>55522.751404800008</v>
      </c>
      <c r="W19" s="53"/>
      <c r="X19" s="54">
        <f t="shared" si="1"/>
        <v>222091.00561920003</v>
      </c>
      <c r="Y19" s="53"/>
    </row>
    <row r="20" spans="1:25" x14ac:dyDescent="0.25">
      <c r="A20" s="11" t="s">
        <v>11</v>
      </c>
      <c r="B20" s="33">
        <v>1</v>
      </c>
      <c r="D20" s="43">
        <f>33903*1.03</f>
        <v>34920.090000000004</v>
      </c>
      <c r="E20" s="52">
        <v>318</v>
      </c>
      <c r="F20" s="43">
        <v>384</v>
      </c>
      <c r="H20" s="44">
        <v>1000</v>
      </c>
      <c r="I20" s="43">
        <v>13931</v>
      </c>
      <c r="L20" s="51">
        <f t="shared" si="2"/>
        <v>6066.3708000000006</v>
      </c>
      <c r="M20" s="51">
        <f t="shared" si="3"/>
        <v>7983.3439727999994</v>
      </c>
      <c r="N20" s="53"/>
      <c r="O20" s="51">
        <f t="shared" si="4"/>
        <v>64602.804772800002</v>
      </c>
      <c r="P20" s="51">
        <f t="shared" si="5"/>
        <v>64602.804772800002</v>
      </c>
      <c r="Q20" s="127">
        <f t="shared" si="6"/>
        <v>56619.460800000001</v>
      </c>
      <c r="R20" s="127">
        <f t="shared" si="7"/>
        <v>7983.3439728000012</v>
      </c>
      <c r="S20" s="127">
        <f t="shared" si="8"/>
        <v>2095.2054000000003</v>
      </c>
      <c r="T20" s="53"/>
      <c r="U20" s="53"/>
      <c r="V20" s="54">
        <f t="shared" si="0"/>
        <v>66698.010172800001</v>
      </c>
      <c r="W20" s="53"/>
      <c r="X20" s="54">
        <f t="shared" si="1"/>
        <v>266792.0406912</v>
      </c>
      <c r="Y20" s="53"/>
    </row>
    <row r="21" spans="1:25" x14ac:dyDescent="0.25">
      <c r="A21" s="11" t="s">
        <v>12</v>
      </c>
      <c r="B21" s="34"/>
      <c r="D21" s="43">
        <f>34945*1.03</f>
        <v>35993.35</v>
      </c>
      <c r="E21" s="52">
        <v>318</v>
      </c>
      <c r="F21" s="43">
        <v>392</v>
      </c>
      <c r="H21" s="44">
        <v>1000</v>
      </c>
      <c r="I21" s="43">
        <v>6958</v>
      </c>
      <c r="L21" s="51">
        <f t="shared" si="2"/>
        <v>5359.3620000000001</v>
      </c>
      <c r="M21" s="51">
        <f t="shared" si="3"/>
        <v>7052.9203919999991</v>
      </c>
      <c r="N21" s="53"/>
      <c r="O21" s="51">
        <f t="shared" si="4"/>
        <v>57073.632392</v>
      </c>
      <c r="P21" s="51">
        <f t="shared" si="5"/>
        <v>0</v>
      </c>
      <c r="Q21" s="127">
        <f t="shared" si="6"/>
        <v>0</v>
      </c>
      <c r="R21" s="127">
        <f t="shared" si="7"/>
        <v>0</v>
      </c>
      <c r="S21" s="127">
        <f t="shared" si="8"/>
        <v>2159.6009999999997</v>
      </c>
      <c r="T21" s="53"/>
      <c r="U21" s="53"/>
      <c r="V21" s="54">
        <f t="shared" si="0"/>
        <v>2159.6009999999997</v>
      </c>
      <c r="W21" s="53"/>
      <c r="X21" s="54">
        <f t="shared" si="1"/>
        <v>8638.4039999999986</v>
      </c>
      <c r="Y21" s="53"/>
    </row>
    <row r="22" spans="1:25" x14ac:dyDescent="0.25">
      <c r="A22" s="11" t="s">
        <v>19</v>
      </c>
      <c r="B22" s="34">
        <v>0.25</v>
      </c>
      <c r="D22" s="43">
        <f>34267*1.03</f>
        <v>35295.01</v>
      </c>
      <c r="E22" s="52">
        <v>318</v>
      </c>
      <c r="H22" s="44">
        <v>1000</v>
      </c>
      <c r="I22" s="43">
        <v>1684</v>
      </c>
      <c r="L22" s="51">
        <f t="shared" si="2"/>
        <v>4595.6412</v>
      </c>
      <c r="M22" s="51">
        <f t="shared" si="3"/>
        <v>6047.8638191999999</v>
      </c>
      <c r="N22" s="53"/>
      <c r="O22" s="51">
        <f t="shared" si="4"/>
        <v>48940.5150192</v>
      </c>
      <c r="P22" s="51">
        <f t="shared" si="5"/>
        <v>12235.1287548</v>
      </c>
      <c r="Q22" s="127">
        <f t="shared" si="6"/>
        <v>10723.1628</v>
      </c>
      <c r="R22" s="127">
        <f t="shared" si="7"/>
        <v>1511.9659548</v>
      </c>
      <c r="S22" s="127">
        <f t="shared" si="8"/>
        <v>2117.7006000000001</v>
      </c>
      <c r="T22" s="53"/>
      <c r="U22" s="53"/>
      <c r="V22" s="54">
        <f t="shared" si="0"/>
        <v>14352.8293548</v>
      </c>
      <c r="W22" s="53"/>
      <c r="X22" s="54">
        <f t="shared" si="1"/>
        <v>57411.317419200001</v>
      </c>
      <c r="Y22" s="53"/>
    </row>
    <row r="23" spans="1:25" x14ac:dyDescent="0.25">
      <c r="A23" s="11" t="s">
        <v>20</v>
      </c>
      <c r="B23" s="34">
        <v>0.25</v>
      </c>
      <c r="D23" s="43">
        <f>41654*1.03</f>
        <v>42903.62</v>
      </c>
      <c r="E23" s="52">
        <v>318</v>
      </c>
      <c r="I23" s="43">
        <v>4330</v>
      </c>
      <c r="J23" s="43">
        <v>-280</v>
      </c>
      <c r="L23" s="51">
        <f t="shared" si="2"/>
        <v>5672.5944</v>
      </c>
      <c r="M23" s="51">
        <f t="shared" si="3"/>
        <v>7465.1342304</v>
      </c>
      <c r="N23" s="53"/>
      <c r="O23" s="51">
        <f t="shared" si="4"/>
        <v>60409.348630400003</v>
      </c>
      <c r="P23" s="51">
        <f t="shared" si="5"/>
        <v>15102.337157600001</v>
      </c>
      <c r="Q23" s="127">
        <f t="shared" si="6"/>
        <v>13236.053600000001</v>
      </c>
      <c r="R23" s="127">
        <f t="shared" si="7"/>
        <v>1866.2835575999998</v>
      </c>
      <c r="S23" s="127">
        <f t="shared" si="8"/>
        <v>2574.2172</v>
      </c>
      <c r="T23" s="53"/>
      <c r="U23" s="53"/>
      <c r="V23" s="54">
        <f t="shared" si="0"/>
        <v>17676.554357600002</v>
      </c>
      <c r="W23" s="53"/>
      <c r="X23" s="54">
        <f t="shared" si="1"/>
        <v>70706.217430400007</v>
      </c>
      <c r="Y23" s="53"/>
    </row>
    <row r="24" spans="1:25" x14ac:dyDescent="0.25">
      <c r="A24" s="11" t="s">
        <v>64</v>
      </c>
      <c r="B24" s="33">
        <v>0.5</v>
      </c>
      <c r="D24" s="43">
        <f>64750*1.03</f>
        <v>66692.5</v>
      </c>
      <c r="E24" s="52"/>
      <c r="L24" s="51">
        <f t="shared" si="2"/>
        <v>8003.0999999999995</v>
      </c>
      <c r="M24" s="51">
        <f>SUM(D24:L24)*0.141</f>
        <v>10532.079599999999</v>
      </c>
      <c r="N24" s="53"/>
      <c r="O24" s="51">
        <f t="shared" si="4"/>
        <v>85227.679600000003</v>
      </c>
      <c r="P24" s="51">
        <f t="shared" si="5"/>
        <v>42613.839800000002</v>
      </c>
      <c r="Q24" s="127">
        <f t="shared" si="6"/>
        <v>37347.800000000003</v>
      </c>
      <c r="R24" s="127">
        <f>+P24-Q24</f>
        <v>5266.0397999999986</v>
      </c>
      <c r="S24" s="127">
        <f t="shared" si="8"/>
        <v>4001.5499999999997</v>
      </c>
      <c r="T24" s="53"/>
      <c r="U24" s="53"/>
      <c r="V24" s="54">
        <f t="shared" si="0"/>
        <v>46615.389800000004</v>
      </c>
      <c r="W24" s="53"/>
      <c r="X24" s="54">
        <f t="shared" si="1"/>
        <v>186461.55920000002</v>
      </c>
      <c r="Y24" s="53"/>
    </row>
    <row r="25" spans="1:25" x14ac:dyDescent="0.25">
      <c r="A25" s="31" t="s">
        <v>59</v>
      </c>
      <c r="B25" s="35">
        <f>SUM(B7:B24)</f>
        <v>9.5</v>
      </c>
      <c r="D25" s="57">
        <f t="shared" ref="D25:L25" si="9">SUM(D7:D24)</f>
        <v>665533.47</v>
      </c>
      <c r="E25" s="58">
        <f t="shared" si="9"/>
        <v>5406</v>
      </c>
      <c r="F25" s="57">
        <f t="shared" si="9"/>
        <v>19449</v>
      </c>
      <c r="G25" s="57">
        <f t="shared" si="9"/>
        <v>0</v>
      </c>
      <c r="H25" s="58">
        <f t="shared" si="9"/>
        <v>4000</v>
      </c>
      <c r="I25" s="57">
        <f t="shared" si="9"/>
        <v>89015</v>
      </c>
      <c r="J25" s="57">
        <f t="shared" si="9"/>
        <v>-560</v>
      </c>
      <c r="K25" s="57">
        <f t="shared" si="9"/>
        <v>0</v>
      </c>
      <c r="L25" s="57">
        <f t="shared" si="9"/>
        <v>93941.216400000005</v>
      </c>
      <c r="M25" s="57">
        <f>SUM(M7:M24)</f>
        <v>123626.64078239998</v>
      </c>
      <c r="N25" s="57"/>
      <c r="O25" s="57">
        <f>SUM(O7:O24)</f>
        <v>1000411.3271824</v>
      </c>
      <c r="P25" s="57">
        <f>SUM(P7:P24)</f>
        <v>522190.79799880006</v>
      </c>
      <c r="Q25" s="128">
        <f>SUM(Q7:Q24)</f>
        <v>457660.64679999993</v>
      </c>
      <c r="R25" s="128">
        <f>SUM(R7:R24)</f>
        <v>64530.151198800013</v>
      </c>
      <c r="S25" s="128">
        <f>SUM(S7:S24)</f>
        <v>39932.008199999997</v>
      </c>
      <c r="T25" s="57"/>
      <c r="U25" s="57"/>
      <c r="V25" s="59">
        <f>SUM(V7:V24)</f>
        <v>562122.80619879998</v>
      </c>
      <c r="W25" s="83"/>
      <c r="X25" s="59">
        <f>SUM(X7:X24)</f>
        <v>2248491.2247951999</v>
      </c>
      <c r="Y25" s="83"/>
    </row>
    <row r="26" spans="1:25" s="10" customFormat="1" ht="8.25" customHeight="1" x14ac:dyDescent="0.25">
      <c r="A26" s="31"/>
      <c r="B26" s="29"/>
      <c r="D26" s="60"/>
      <c r="E26" s="61"/>
      <c r="F26" s="60"/>
      <c r="G26" s="60"/>
      <c r="H26" s="61"/>
      <c r="I26" s="60"/>
      <c r="J26" s="60"/>
      <c r="K26" s="60"/>
      <c r="L26" s="53"/>
      <c r="M26" s="53"/>
      <c r="N26" s="60"/>
      <c r="O26" s="53"/>
      <c r="P26" s="53"/>
      <c r="Q26" s="127"/>
      <c r="R26" s="127"/>
      <c r="S26" s="129"/>
      <c r="T26" s="60"/>
      <c r="U26" s="60"/>
      <c r="V26" s="54"/>
      <c r="W26" s="53"/>
      <c r="X26" s="54"/>
      <c r="Y26" s="53"/>
    </row>
    <row r="27" spans="1:25" x14ac:dyDescent="0.25">
      <c r="A27" s="1" t="s">
        <v>21</v>
      </c>
      <c r="B27" s="36">
        <v>1</v>
      </c>
      <c r="D27" s="43">
        <f>27332*1.03</f>
        <v>28151.96</v>
      </c>
      <c r="E27" s="44">
        <v>318</v>
      </c>
      <c r="I27" s="43">
        <v>349</v>
      </c>
      <c r="L27" s="51">
        <f>SUM(D27:K27)*0.12</f>
        <v>3458.2751999999996</v>
      </c>
      <c r="M27" s="51">
        <f t="shared" si="3"/>
        <v>4551.0901631999996</v>
      </c>
      <c r="N27" s="53"/>
      <c r="O27" s="51">
        <f>SUM(D27:N27)</f>
        <v>36828.325363199998</v>
      </c>
      <c r="P27" s="51">
        <f>+O27*B27</f>
        <v>36828.325363199998</v>
      </c>
      <c r="Q27" s="127">
        <f>+P27/1.141</f>
        <v>32277.235199999999</v>
      </c>
      <c r="R27" s="127">
        <f>+P27-Q27</f>
        <v>4551.0901631999986</v>
      </c>
      <c r="S27" s="127">
        <f>+D27*0.06</f>
        <v>1689.1175999999998</v>
      </c>
      <c r="T27" s="53"/>
      <c r="U27" s="53"/>
      <c r="V27" s="54">
        <f>+P27+S27+T27</f>
        <v>38517.442963199996</v>
      </c>
      <c r="W27" s="53"/>
      <c r="X27" s="54">
        <f>+V27*$S$59</f>
        <v>154069.77185279998</v>
      </c>
      <c r="Y27" s="53"/>
    </row>
    <row r="28" spans="1:25" x14ac:dyDescent="0.25">
      <c r="A28" s="1" t="s">
        <v>21</v>
      </c>
      <c r="B28" s="36">
        <v>-0.5</v>
      </c>
      <c r="L28" s="51">
        <f>SUM(D28:K28)*0.12</f>
        <v>0</v>
      </c>
      <c r="M28" s="51">
        <f t="shared" si="3"/>
        <v>0</v>
      </c>
      <c r="N28" s="53"/>
      <c r="O28" s="51">
        <f>SUM(D28:N28)</f>
        <v>0</v>
      </c>
      <c r="P28" s="51">
        <f>+O28*B28</f>
        <v>0</v>
      </c>
      <c r="Q28" s="127">
        <f>+P28/1.141</f>
        <v>0</v>
      </c>
      <c r="R28" s="127">
        <f>+P28-Q28</f>
        <v>0</v>
      </c>
      <c r="S28" s="127">
        <f>+D28*0.06</f>
        <v>0</v>
      </c>
      <c r="T28" s="53"/>
      <c r="U28" s="53"/>
      <c r="V28" s="54">
        <f>+P28+S28+T28</f>
        <v>0</v>
      </c>
      <c r="W28" s="53"/>
      <c r="X28" s="54">
        <f>+V28*$S$59</f>
        <v>0</v>
      </c>
      <c r="Y28" s="53"/>
    </row>
    <row r="29" spans="1:25" x14ac:dyDescent="0.25">
      <c r="A29" s="1" t="s">
        <v>22</v>
      </c>
      <c r="B29" s="36">
        <v>0.75</v>
      </c>
      <c r="D29" s="43">
        <f>40163*1.03</f>
        <v>41367.89</v>
      </c>
      <c r="E29" s="44">
        <v>318</v>
      </c>
      <c r="I29" s="43">
        <v>349</v>
      </c>
      <c r="L29" s="51">
        <f>SUM(D29:K29)*0.12</f>
        <v>5044.1867999999995</v>
      </c>
      <c r="M29" s="51">
        <f t="shared" si="3"/>
        <v>6638.1498287999984</v>
      </c>
      <c r="N29" s="53"/>
      <c r="O29" s="51">
        <f>SUM(D29:N29)</f>
        <v>53717.226628799996</v>
      </c>
      <c r="P29" s="51">
        <f>+O29*B29</f>
        <v>40287.9199716</v>
      </c>
      <c r="Q29" s="127">
        <f>+P29/1.141</f>
        <v>35309.3076</v>
      </c>
      <c r="R29" s="127">
        <f>+P29-Q29</f>
        <v>4978.6123716000002</v>
      </c>
      <c r="S29" s="127">
        <f>+D29*0.06</f>
        <v>2482.0733999999998</v>
      </c>
      <c r="T29" s="53"/>
      <c r="U29" s="53"/>
      <c r="V29" s="54">
        <f>+P29+S29+T29</f>
        <v>42769.993371600001</v>
      </c>
      <c r="W29" s="53"/>
      <c r="X29" s="54">
        <f>+V29*$S$59</f>
        <v>171079.97348640001</v>
      </c>
      <c r="Y29" s="53"/>
    </row>
    <row r="30" spans="1:25" x14ac:dyDescent="0.25">
      <c r="A30" s="11" t="s">
        <v>23</v>
      </c>
      <c r="B30" s="36">
        <v>1</v>
      </c>
      <c r="D30" s="43">
        <f>31148*1.03</f>
        <v>32082.440000000002</v>
      </c>
      <c r="E30" s="44">
        <v>318</v>
      </c>
      <c r="F30" s="43">
        <v>3707</v>
      </c>
      <c r="I30" s="43">
        <v>4817</v>
      </c>
      <c r="L30" s="51">
        <f>SUM(D30:K30)*0.12</f>
        <v>4910.9328000000005</v>
      </c>
      <c r="M30" s="51">
        <f t="shared" si="3"/>
        <v>6462.7875647999999</v>
      </c>
      <c r="N30" s="53"/>
      <c r="O30" s="51">
        <f>SUM(D30:N30)</f>
        <v>52298.160364800002</v>
      </c>
      <c r="P30" s="51">
        <f>+O30*B30</f>
        <v>52298.160364800002</v>
      </c>
      <c r="Q30" s="127">
        <f>+P30/1.141</f>
        <v>45835.372800000005</v>
      </c>
      <c r="R30" s="127">
        <f>+P30-Q30</f>
        <v>6462.7875647999972</v>
      </c>
      <c r="S30" s="127">
        <f>+D30*0.06</f>
        <v>1924.9464</v>
      </c>
      <c r="T30" s="53"/>
      <c r="U30" s="53"/>
      <c r="V30" s="54">
        <f>+P30+S30+T30</f>
        <v>54223.106764800003</v>
      </c>
      <c r="W30" s="53"/>
      <c r="X30" s="54">
        <f>+V30*$S$59</f>
        <v>216892.42705920001</v>
      </c>
      <c r="Y30" s="53"/>
    </row>
    <row r="31" spans="1:25" x14ac:dyDescent="0.25">
      <c r="A31" s="11" t="s">
        <v>1</v>
      </c>
      <c r="B31" s="36">
        <v>0.75</v>
      </c>
      <c r="D31" s="43">
        <f>42684*1.03</f>
        <v>43964.520000000004</v>
      </c>
      <c r="E31" s="44">
        <v>318</v>
      </c>
      <c r="I31" s="43">
        <v>374</v>
      </c>
      <c r="L31" s="51">
        <f>SUM(D31:K31)*0.12</f>
        <v>5358.7824000000001</v>
      </c>
      <c r="M31" s="51">
        <f t="shared" si="3"/>
        <v>7052.1576383999991</v>
      </c>
      <c r="N31" s="53"/>
      <c r="O31" s="51">
        <f>SUM(D31:N31)</f>
        <v>57067.4600384</v>
      </c>
      <c r="P31" s="51">
        <f>+O31*B31</f>
        <v>42800.595028800002</v>
      </c>
      <c r="Q31" s="127">
        <f>+P31/1.141</f>
        <v>37511.476800000004</v>
      </c>
      <c r="R31" s="127">
        <f>+P31-Q31</f>
        <v>5289.1182287999982</v>
      </c>
      <c r="S31" s="127">
        <f>+D31*0.06</f>
        <v>2637.8712</v>
      </c>
      <c r="T31" s="53"/>
      <c r="U31" s="53"/>
      <c r="V31" s="54">
        <f>+P31+S31+T31</f>
        <v>45438.466228800004</v>
      </c>
      <c r="W31" s="53"/>
      <c r="X31" s="54">
        <f>+V31*$S$59</f>
        <v>181753.86491520001</v>
      </c>
      <c r="Y31" s="53"/>
    </row>
    <row r="32" spans="1:25" ht="15.75" customHeight="1" x14ac:dyDescent="0.25">
      <c r="A32" s="31" t="s">
        <v>35</v>
      </c>
      <c r="B32" s="41">
        <f>SUM(B27:B31)</f>
        <v>3</v>
      </c>
      <c r="D32" s="62">
        <f t="shared" ref="D32:X32" si="10">SUM(D27:D31)</f>
        <v>145566.81</v>
      </c>
      <c r="E32" s="63">
        <f>SUM(E29:E31)</f>
        <v>954</v>
      </c>
      <c r="F32" s="62">
        <f t="shared" si="10"/>
        <v>3707</v>
      </c>
      <c r="G32" s="62">
        <f t="shared" si="10"/>
        <v>0</v>
      </c>
      <c r="H32" s="62">
        <f t="shared" si="10"/>
        <v>0</v>
      </c>
      <c r="I32" s="62">
        <f t="shared" si="10"/>
        <v>5889</v>
      </c>
      <c r="J32" s="62">
        <f t="shared" si="10"/>
        <v>0</v>
      </c>
      <c r="K32" s="62">
        <f t="shared" si="10"/>
        <v>0</v>
      </c>
      <c r="L32" s="62">
        <f t="shared" si="10"/>
        <v>18772.177199999998</v>
      </c>
      <c r="M32" s="62">
        <f t="shared" si="10"/>
        <v>24704.1851952</v>
      </c>
      <c r="N32" s="62"/>
      <c r="O32" s="62">
        <f t="shared" si="10"/>
        <v>199911.17239519997</v>
      </c>
      <c r="P32" s="62">
        <f t="shared" si="10"/>
        <v>172215.00072840002</v>
      </c>
      <c r="Q32" s="128">
        <f t="shared" si="10"/>
        <v>150933.39240000001</v>
      </c>
      <c r="R32" s="128">
        <f t="shared" si="10"/>
        <v>21281.608328399994</v>
      </c>
      <c r="S32" s="128">
        <f t="shared" si="10"/>
        <v>8734.0085999999992</v>
      </c>
      <c r="T32" s="62"/>
      <c r="U32" s="62"/>
      <c r="V32" s="59">
        <f t="shared" si="10"/>
        <v>180949.00932840002</v>
      </c>
      <c r="W32" s="83"/>
      <c r="X32" s="59">
        <f t="shared" si="10"/>
        <v>723796.03731360007</v>
      </c>
      <c r="Y32" s="83"/>
    </row>
    <row r="33" spans="1:25" ht="9.75" customHeight="1" x14ac:dyDescent="0.25">
      <c r="A33" s="31"/>
      <c r="B33" s="30"/>
      <c r="D33" s="64"/>
      <c r="E33" s="65"/>
      <c r="F33" s="64"/>
      <c r="G33" s="64"/>
      <c r="H33" s="65"/>
      <c r="I33" s="64"/>
      <c r="J33" s="64"/>
      <c r="K33" s="64"/>
      <c r="L33" s="64"/>
      <c r="M33" s="64"/>
      <c r="N33" s="64"/>
      <c r="O33" s="64"/>
      <c r="P33" s="64"/>
      <c r="Q33" s="130"/>
      <c r="R33" s="130"/>
      <c r="S33" s="130"/>
      <c r="T33" s="64"/>
      <c r="U33" s="64"/>
      <c r="V33" s="66"/>
      <c r="W33" s="83"/>
      <c r="X33" s="66"/>
      <c r="Y33" s="83"/>
    </row>
    <row r="34" spans="1:25" x14ac:dyDescent="0.25">
      <c r="A34" s="31" t="s">
        <v>32</v>
      </c>
      <c r="B34" s="29">
        <f>+B25+B32</f>
        <v>12.5</v>
      </c>
      <c r="D34" s="57">
        <f t="shared" ref="D34:V34" si="11">+D25+D32</f>
        <v>811100.28</v>
      </c>
      <c r="E34" s="58"/>
      <c r="F34" s="57">
        <f t="shared" si="11"/>
        <v>23156</v>
      </c>
      <c r="G34" s="57">
        <f t="shared" si="11"/>
        <v>0</v>
      </c>
      <c r="H34" s="57">
        <f t="shared" si="11"/>
        <v>4000</v>
      </c>
      <c r="I34" s="57">
        <f t="shared" si="11"/>
        <v>94904</v>
      </c>
      <c r="J34" s="57">
        <f t="shared" si="11"/>
        <v>-560</v>
      </c>
      <c r="K34" s="57">
        <f t="shared" si="11"/>
        <v>0</v>
      </c>
      <c r="L34" s="57">
        <f t="shared" si="11"/>
        <v>112713.39360000001</v>
      </c>
      <c r="M34" s="57">
        <f>+M25+M32</f>
        <v>148330.82597759998</v>
      </c>
      <c r="N34" s="57"/>
      <c r="O34" s="57">
        <f t="shared" si="11"/>
        <v>1200322.4995776</v>
      </c>
      <c r="P34" s="57">
        <f t="shared" si="11"/>
        <v>694405.79872720013</v>
      </c>
      <c r="Q34" s="128">
        <f t="shared" si="11"/>
        <v>608594.0392</v>
      </c>
      <c r="R34" s="128">
        <f t="shared" si="11"/>
        <v>85811.759527200004</v>
      </c>
      <c r="S34" s="128">
        <f>+S25+S32</f>
        <v>48666.016799999998</v>
      </c>
      <c r="T34" s="57"/>
      <c r="U34" s="57"/>
      <c r="V34" s="59">
        <f t="shared" si="11"/>
        <v>743071.8155272</v>
      </c>
      <c r="W34" s="83"/>
      <c r="X34" s="59">
        <f>+X25+X32</f>
        <v>2972287.2621088</v>
      </c>
      <c r="Y34" s="83"/>
    </row>
    <row r="35" spans="1:25" x14ac:dyDescent="0.25">
      <c r="A35" s="1"/>
      <c r="B35" s="5"/>
      <c r="L35" s="51"/>
      <c r="M35" s="51"/>
      <c r="O35" s="51"/>
      <c r="P35" s="51"/>
      <c r="Q35" s="127"/>
      <c r="R35" s="127"/>
      <c r="S35" s="129"/>
      <c r="V35" s="54"/>
      <c r="W35" s="53"/>
      <c r="X35" s="54"/>
      <c r="Y35" s="53"/>
    </row>
    <row r="36" spans="1:25" x14ac:dyDescent="0.25">
      <c r="A36" s="31" t="s">
        <v>24</v>
      </c>
      <c r="B36" s="32" t="s">
        <v>2</v>
      </c>
      <c r="L36" s="51"/>
      <c r="M36" s="51"/>
      <c r="O36" s="51"/>
      <c r="P36" s="51"/>
      <c r="Q36" s="127"/>
      <c r="R36" s="127"/>
      <c r="S36" s="129"/>
      <c r="V36" s="54"/>
      <c r="W36" s="53"/>
      <c r="X36" s="54"/>
      <c r="Y36" s="53"/>
    </row>
    <row r="37" spans="1:25" x14ac:dyDescent="0.25">
      <c r="A37" s="1" t="s">
        <v>25</v>
      </c>
      <c r="B37" s="37">
        <v>1</v>
      </c>
      <c r="D37" s="43">
        <f>44016*1.03</f>
        <v>45336.480000000003</v>
      </c>
      <c r="K37" s="43">
        <v>785</v>
      </c>
      <c r="L37" s="51">
        <f t="shared" ref="L37:L48" si="12">SUM(D37:K37)*0.12</f>
        <v>5534.5776000000005</v>
      </c>
      <c r="M37" s="51">
        <f t="shared" si="3"/>
        <v>7283.5041215999991</v>
      </c>
      <c r="N37" s="53"/>
      <c r="O37" s="51">
        <f t="shared" ref="O37:O48" si="13">SUM(D37:N37)</f>
        <v>58939.561721599996</v>
      </c>
      <c r="P37" s="51">
        <f t="shared" ref="P37:P48" si="14">+O37*B37</f>
        <v>58939.561721599996</v>
      </c>
      <c r="Q37" s="127">
        <f t="shared" ref="Q37:Q48" si="15">+P37/1.141</f>
        <v>51656.057599999993</v>
      </c>
      <c r="R37" s="127">
        <f t="shared" ref="R37:R48" si="16">+P37-Q37</f>
        <v>7283.5041216000027</v>
      </c>
      <c r="S37" s="127">
        <f t="shared" ref="S37:S48" si="17">+D37*0.06</f>
        <v>2720.1887999999999</v>
      </c>
      <c r="T37" s="53"/>
      <c r="U37" s="53"/>
      <c r="V37" s="54">
        <f t="shared" ref="V37:V48" si="18">+P37+S37+T37</f>
        <v>61659.750521599999</v>
      </c>
      <c r="W37" s="53"/>
      <c r="X37" s="54">
        <f t="shared" ref="X37:X48" si="19">+V37*$S$59</f>
        <v>246639.0020864</v>
      </c>
      <c r="Y37" s="53"/>
    </row>
    <row r="38" spans="1:25" x14ac:dyDescent="0.25">
      <c r="A38" s="1" t="s">
        <v>26</v>
      </c>
      <c r="B38" s="37">
        <v>1</v>
      </c>
      <c r="D38" s="43">
        <f>32892*1.03</f>
        <v>33878.76</v>
      </c>
      <c r="K38" s="43">
        <v>785</v>
      </c>
      <c r="L38" s="51">
        <f t="shared" si="12"/>
        <v>4159.6512000000002</v>
      </c>
      <c r="M38" s="51">
        <f t="shared" si="3"/>
        <v>5474.1009791999995</v>
      </c>
      <c r="N38" s="53"/>
      <c r="O38" s="51">
        <f t="shared" si="13"/>
        <v>44297.512179199999</v>
      </c>
      <c r="P38" s="51">
        <f t="shared" si="14"/>
        <v>44297.512179199999</v>
      </c>
      <c r="Q38" s="127">
        <f t="shared" si="15"/>
        <v>38823.411200000002</v>
      </c>
      <c r="R38" s="127">
        <f t="shared" si="16"/>
        <v>5474.1009791999968</v>
      </c>
      <c r="S38" s="127">
        <f t="shared" si="17"/>
        <v>2032.7256</v>
      </c>
      <c r="T38" s="53"/>
      <c r="U38" s="53"/>
      <c r="V38" s="54">
        <f t="shared" si="18"/>
        <v>46330.237779199997</v>
      </c>
      <c r="W38" s="53"/>
      <c r="X38" s="54">
        <f t="shared" si="19"/>
        <v>185320.95111679999</v>
      </c>
      <c r="Y38" s="53"/>
    </row>
    <row r="39" spans="1:25" x14ac:dyDescent="0.25">
      <c r="A39" s="1" t="s">
        <v>27</v>
      </c>
      <c r="B39" s="37">
        <v>1</v>
      </c>
      <c r="D39" s="43">
        <f>33777*1.03</f>
        <v>34790.31</v>
      </c>
      <c r="J39" s="43">
        <v>-280</v>
      </c>
      <c r="K39" s="43">
        <v>785</v>
      </c>
      <c r="L39" s="51">
        <f t="shared" si="12"/>
        <v>4235.4371999999994</v>
      </c>
      <c r="M39" s="51">
        <f t="shared" si="3"/>
        <v>5573.835355199999</v>
      </c>
      <c r="N39" s="53"/>
      <c r="O39" s="51">
        <f t="shared" si="13"/>
        <v>45104.582555199995</v>
      </c>
      <c r="P39" s="51">
        <f t="shared" si="14"/>
        <v>45104.582555199995</v>
      </c>
      <c r="Q39" s="127">
        <f t="shared" si="15"/>
        <v>39530.747199999998</v>
      </c>
      <c r="R39" s="127">
        <f t="shared" si="16"/>
        <v>5573.8353551999971</v>
      </c>
      <c r="S39" s="127">
        <f t="shared" si="17"/>
        <v>2087.4186</v>
      </c>
      <c r="T39" s="53"/>
      <c r="U39" s="53"/>
      <c r="V39" s="54">
        <f t="shared" si="18"/>
        <v>47192.001155199992</v>
      </c>
      <c r="W39" s="53"/>
      <c r="X39" s="54">
        <f t="shared" si="19"/>
        <v>188768.00462079997</v>
      </c>
      <c r="Y39" s="53"/>
    </row>
    <row r="40" spans="1:25" x14ac:dyDescent="0.25">
      <c r="A40" s="1" t="s">
        <v>28</v>
      </c>
      <c r="B40" s="37">
        <v>1</v>
      </c>
      <c r="D40" s="43">
        <f>33334*1.03</f>
        <v>34334.020000000004</v>
      </c>
      <c r="K40" s="43">
        <v>785</v>
      </c>
      <c r="L40" s="51">
        <f t="shared" si="12"/>
        <v>4214.2824000000001</v>
      </c>
      <c r="M40" s="51">
        <f t="shared" si="3"/>
        <v>5545.9956383999997</v>
      </c>
      <c r="N40" s="53"/>
      <c r="O40" s="51">
        <f t="shared" si="13"/>
        <v>44879.298038399997</v>
      </c>
      <c r="P40" s="51">
        <f t="shared" si="14"/>
        <v>44879.298038399997</v>
      </c>
      <c r="Q40" s="127">
        <f t="shared" si="15"/>
        <v>39333.302399999993</v>
      </c>
      <c r="R40" s="127">
        <f t="shared" si="16"/>
        <v>5545.9956384000034</v>
      </c>
      <c r="S40" s="127">
        <f t="shared" si="17"/>
        <v>2060.0412000000001</v>
      </c>
      <c r="T40" s="53"/>
      <c r="U40" s="53"/>
      <c r="V40" s="54">
        <f t="shared" si="18"/>
        <v>46939.339238399996</v>
      </c>
      <c r="W40" s="53"/>
      <c r="X40" s="54">
        <f t="shared" si="19"/>
        <v>187757.35695359998</v>
      </c>
      <c r="Y40" s="53"/>
    </row>
    <row r="41" spans="1:25" x14ac:dyDescent="0.25">
      <c r="A41" s="1" t="s">
        <v>29</v>
      </c>
      <c r="B41" s="37">
        <v>0</v>
      </c>
      <c r="D41" s="43">
        <f>30895*1.03</f>
        <v>31821.850000000002</v>
      </c>
      <c r="K41" s="43">
        <v>785</v>
      </c>
      <c r="L41" s="51">
        <f t="shared" si="12"/>
        <v>3912.8220000000001</v>
      </c>
      <c r="M41" s="51">
        <f t="shared" si="3"/>
        <v>5149.2737520000001</v>
      </c>
      <c r="N41" s="53"/>
      <c r="O41" s="51">
        <f t="shared" si="13"/>
        <v>41668.945752000007</v>
      </c>
      <c r="P41" s="51">
        <f t="shared" si="14"/>
        <v>0</v>
      </c>
      <c r="Q41" s="127">
        <f t="shared" si="15"/>
        <v>0</v>
      </c>
      <c r="R41" s="127">
        <f t="shared" si="16"/>
        <v>0</v>
      </c>
      <c r="S41" s="127">
        <f t="shared" si="17"/>
        <v>1909.3110000000001</v>
      </c>
      <c r="T41" s="53"/>
      <c r="U41" s="53"/>
      <c r="V41" s="54">
        <f t="shared" si="18"/>
        <v>1909.3110000000001</v>
      </c>
      <c r="W41" s="53"/>
      <c r="X41" s="54">
        <f t="shared" si="19"/>
        <v>7637.2440000000006</v>
      </c>
      <c r="Y41" s="53"/>
    </row>
    <row r="42" spans="1:25" x14ac:dyDescent="0.25">
      <c r="A42" s="1" t="s">
        <v>30</v>
      </c>
      <c r="B42" s="37">
        <v>0</v>
      </c>
      <c r="D42" s="43">
        <f>30630*1.03</f>
        <v>31548.9</v>
      </c>
      <c r="F42" s="43">
        <v>6126</v>
      </c>
      <c r="K42" s="43">
        <v>785</v>
      </c>
      <c r="L42" s="51">
        <f t="shared" si="12"/>
        <v>4615.1880000000001</v>
      </c>
      <c r="M42" s="51">
        <f t="shared" si="3"/>
        <v>6073.5874080000003</v>
      </c>
      <c r="N42" s="53"/>
      <c r="O42" s="51">
        <f t="shared" si="13"/>
        <v>49148.675408000003</v>
      </c>
      <c r="P42" s="51">
        <f t="shared" si="14"/>
        <v>0</v>
      </c>
      <c r="Q42" s="127">
        <f t="shared" si="15"/>
        <v>0</v>
      </c>
      <c r="R42" s="127">
        <f t="shared" si="16"/>
        <v>0</v>
      </c>
      <c r="S42" s="127">
        <f t="shared" si="17"/>
        <v>1892.934</v>
      </c>
      <c r="T42" s="53"/>
      <c r="U42" s="53"/>
      <c r="V42" s="54">
        <f t="shared" si="18"/>
        <v>1892.934</v>
      </c>
      <c r="W42" s="53"/>
      <c r="X42" s="54">
        <f t="shared" si="19"/>
        <v>7571.7359999999999</v>
      </c>
      <c r="Y42" s="53"/>
    </row>
    <row r="43" spans="1:25" x14ac:dyDescent="0.25">
      <c r="A43" s="11" t="s">
        <v>80</v>
      </c>
      <c r="B43" s="37">
        <f>1-1</f>
        <v>0</v>
      </c>
      <c r="D43" s="43">
        <v>35000</v>
      </c>
      <c r="K43" s="43">
        <v>785</v>
      </c>
      <c r="L43" s="51">
        <f t="shared" si="12"/>
        <v>4294.2</v>
      </c>
      <c r="M43" s="51">
        <f t="shared" si="3"/>
        <v>5651.167199999999</v>
      </c>
      <c r="N43" s="53"/>
      <c r="O43" s="51">
        <f t="shared" si="13"/>
        <v>45730.367199999993</v>
      </c>
      <c r="P43" s="51">
        <f t="shared" si="14"/>
        <v>0</v>
      </c>
      <c r="Q43" s="127">
        <f t="shared" si="15"/>
        <v>0</v>
      </c>
      <c r="R43" s="127">
        <f t="shared" si="16"/>
        <v>0</v>
      </c>
      <c r="S43" s="127">
        <f t="shared" si="17"/>
        <v>2100</v>
      </c>
      <c r="T43" s="53"/>
      <c r="U43" s="53"/>
      <c r="V43" s="54">
        <f t="shared" si="18"/>
        <v>2100</v>
      </c>
      <c r="W43" s="53"/>
      <c r="X43" s="54">
        <f t="shared" si="19"/>
        <v>8400</v>
      </c>
      <c r="Y43" s="53"/>
    </row>
    <row r="44" spans="1:25" x14ac:dyDescent="0.25">
      <c r="A44" s="11" t="s">
        <v>80</v>
      </c>
      <c r="B44" s="37">
        <f>1-1</f>
        <v>0</v>
      </c>
      <c r="D44" s="43">
        <v>35000</v>
      </c>
      <c r="K44" s="43">
        <v>785</v>
      </c>
      <c r="L44" s="51">
        <f t="shared" si="12"/>
        <v>4294.2</v>
      </c>
      <c r="M44" s="51">
        <f t="shared" si="3"/>
        <v>5651.167199999999</v>
      </c>
      <c r="N44" s="53"/>
      <c r="O44" s="51">
        <f t="shared" si="13"/>
        <v>45730.367199999993</v>
      </c>
      <c r="P44" s="51">
        <f t="shared" si="14"/>
        <v>0</v>
      </c>
      <c r="Q44" s="127">
        <f t="shared" si="15"/>
        <v>0</v>
      </c>
      <c r="R44" s="127">
        <f t="shared" si="16"/>
        <v>0</v>
      </c>
      <c r="S44" s="127">
        <f t="shared" si="17"/>
        <v>2100</v>
      </c>
      <c r="T44" s="53"/>
      <c r="U44" s="53"/>
      <c r="V44" s="54">
        <f t="shared" si="18"/>
        <v>2100</v>
      </c>
      <c r="W44" s="53"/>
      <c r="X44" s="54">
        <f t="shared" si="19"/>
        <v>8400</v>
      </c>
      <c r="Y44" s="53"/>
    </row>
    <row r="45" spans="1:25" x14ac:dyDescent="0.25">
      <c r="A45" s="11" t="s">
        <v>80</v>
      </c>
      <c r="B45" s="37">
        <f>1-1</f>
        <v>0</v>
      </c>
      <c r="D45" s="43">
        <v>35000</v>
      </c>
      <c r="K45" s="43">
        <v>785</v>
      </c>
      <c r="L45" s="51">
        <f t="shared" si="12"/>
        <v>4294.2</v>
      </c>
      <c r="M45" s="51">
        <f t="shared" si="3"/>
        <v>5651.167199999999</v>
      </c>
      <c r="N45" s="53"/>
      <c r="O45" s="51">
        <f t="shared" si="13"/>
        <v>45730.367199999993</v>
      </c>
      <c r="P45" s="51">
        <f t="shared" si="14"/>
        <v>0</v>
      </c>
      <c r="Q45" s="127">
        <f t="shared" si="15"/>
        <v>0</v>
      </c>
      <c r="R45" s="127">
        <f t="shared" si="16"/>
        <v>0</v>
      </c>
      <c r="S45" s="127">
        <f t="shared" si="17"/>
        <v>2100</v>
      </c>
      <c r="T45" s="53"/>
      <c r="U45" s="53"/>
      <c r="V45" s="54">
        <f t="shared" si="18"/>
        <v>2100</v>
      </c>
      <c r="W45" s="53"/>
      <c r="X45" s="54">
        <f t="shared" si="19"/>
        <v>8400</v>
      </c>
      <c r="Y45" s="53"/>
    </row>
    <row r="46" spans="1:25" x14ac:dyDescent="0.25">
      <c r="A46" s="11" t="s">
        <v>80</v>
      </c>
      <c r="B46" s="37">
        <v>0</v>
      </c>
      <c r="D46" s="43">
        <v>35000</v>
      </c>
      <c r="K46" s="43">
        <v>785</v>
      </c>
      <c r="L46" s="51">
        <f t="shared" si="12"/>
        <v>4294.2</v>
      </c>
      <c r="M46" s="51">
        <f t="shared" si="3"/>
        <v>5651.167199999999</v>
      </c>
      <c r="N46" s="53"/>
      <c r="O46" s="51">
        <f t="shared" si="13"/>
        <v>45730.367199999993</v>
      </c>
      <c r="P46" s="51">
        <f t="shared" si="14"/>
        <v>0</v>
      </c>
      <c r="Q46" s="127">
        <f t="shared" si="15"/>
        <v>0</v>
      </c>
      <c r="R46" s="127">
        <f t="shared" si="16"/>
        <v>0</v>
      </c>
      <c r="S46" s="127">
        <f t="shared" si="17"/>
        <v>2100</v>
      </c>
      <c r="T46" s="53"/>
      <c r="U46" s="53"/>
      <c r="V46" s="54">
        <f t="shared" si="18"/>
        <v>2100</v>
      </c>
      <c r="W46" s="53"/>
      <c r="X46" s="54">
        <f t="shared" si="19"/>
        <v>8400</v>
      </c>
      <c r="Y46" s="53"/>
    </row>
    <row r="47" spans="1:25" x14ac:dyDescent="0.25">
      <c r="A47" s="11" t="s">
        <v>80</v>
      </c>
      <c r="B47" s="37"/>
      <c r="L47" s="51">
        <f t="shared" si="12"/>
        <v>0</v>
      </c>
      <c r="M47" s="51">
        <f t="shared" si="3"/>
        <v>0</v>
      </c>
      <c r="N47" s="53"/>
      <c r="O47" s="51">
        <f t="shared" si="13"/>
        <v>0</v>
      </c>
      <c r="P47" s="51">
        <f t="shared" si="14"/>
        <v>0</v>
      </c>
      <c r="Q47" s="127">
        <f t="shared" si="15"/>
        <v>0</v>
      </c>
      <c r="R47" s="127">
        <f t="shared" si="16"/>
        <v>0</v>
      </c>
      <c r="S47" s="127">
        <f t="shared" si="17"/>
        <v>0</v>
      </c>
      <c r="T47" s="53"/>
      <c r="U47" s="53"/>
      <c r="V47" s="54">
        <f t="shared" si="18"/>
        <v>0</v>
      </c>
      <c r="W47" s="53"/>
      <c r="X47" s="54">
        <f t="shared" si="19"/>
        <v>0</v>
      </c>
      <c r="Y47" s="53"/>
    </row>
    <row r="48" spans="1:25" x14ac:dyDescent="0.25">
      <c r="A48" s="1" t="s">
        <v>31</v>
      </c>
      <c r="B48" s="37">
        <v>0</v>
      </c>
      <c r="D48" s="43">
        <f>35686*1.03</f>
        <v>36756.58</v>
      </c>
      <c r="I48" s="43">
        <v>2250</v>
      </c>
      <c r="J48" s="43">
        <v>-280</v>
      </c>
      <c r="K48" s="43">
        <v>785</v>
      </c>
      <c r="L48" s="51">
        <f t="shared" si="12"/>
        <v>4741.3896000000004</v>
      </c>
      <c r="M48" s="51">
        <f t="shared" si="3"/>
        <v>6239.6687136</v>
      </c>
      <c r="N48" s="53"/>
      <c r="O48" s="51">
        <f t="shared" si="13"/>
        <v>50492.638313600008</v>
      </c>
      <c r="P48" s="51">
        <f t="shared" si="14"/>
        <v>0</v>
      </c>
      <c r="Q48" s="127">
        <f t="shared" si="15"/>
        <v>0</v>
      </c>
      <c r="R48" s="127">
        <f t="shared" si="16"/>
        <v>0</v>
      </c>
      <c r="S48" s="127">
        <f t="shared" si="17"/>
        <v>2205.3948</v>
      </c>
      <c r="T48" s="53"/>
      <c r="U48" s="53"/>
      <c r="V48" s="54">
        <f t="shared" si="18"/>
        <v>2205.3948</v>
      </c>
      <c r="W48" s="53"/>
      <c r="X48" s="54">
        <f t="shared" si="19"/>
        <v>8821.5792000000001</v>
      </c>
      <c r="Y48" s="53"/>
    </row>
    <row r="49" spans="1:26" x14ac:dyDescent="0.25">
      <c r="A49" s="38" t="s">
        <v>33</v>
      </c>
      <c r="B49" s="42">
        <f>SUM(B37:B48)</f>
        <v>4</v>
      </c>
      <c r="D49" s="62">
        <f>SUM(D37:D48)</f>
        <v>388466.9</v>
      </c>
      <c r="E49" s="63"/>
      <c r="F49" s="62">
        <f t="shared" ref="F49:L49" si="20">SUM(F37:F48)</f>
        <v>6126</v>
      </c>
      <c r="G49" s="62">
        <f t="shared" si="20"/>
        <v>0</v>
      </c>
      <c r="H49" s="62">
        <f t="shared" si="20"/>
        <v>0</v>
      </c>
      <c r="I49" s="62">
        <f t="shared" si="20"/>
        <v>2250</v>
      </c>
      <c r="J49" s="62">
        <f t="shared" si="20"/>
        <v>-560</v>
      </c>
      <c r="K49" s="62">
        <f t="shared" si="20"/>
        <v>8635</v>
      </c>
      <c r="L49" s="62">
        <f t="shared" si="20"/>
        <v>48590.148000000001</v>
      </c>
      <c r="M49" s="62">
        <f>SUM(M37:M48)</f>
        <v>63944.634767999989</v>
      </c>
      <c r="N49" s="62"/>
      <c r="O49" s="62">
        <f>SUM(O37:O48)</f>
        <v>517452.68276799994</v>
      </c>
      <c r="P49" s="62">
        <f>SUM(P37:P48)</f>
        <v>193220.95449440001</v>
      </c>
      <c r="Q49" s="128">
        <f>SUM(Q37:Q48)</f>
        <v>169343.5184</v>
      </c>
      <c r="R49" s="128">
        <f>SUM(R37:R48)</f>
        <v>23877.4360944</v>
      </c>
      <c r="S49" s="128">
        <f>SUM(S37:S48)</f>
        <v>23308.014000000003</v>
      </c>
      <c r="T49" s="62"/>
      <c r="U49" s="62"/>
      <c r="V49" s="59">
        <f>SUM(V37:V48)</f>
        <v>216528.96849439997</v>
      </c>
      <c r="W49" s="83"/>
      <c r="X49" s="59">
        <f>SUM(X37:X48)</f>
        <v>866115.8739775999</v>
      </c>
      <c r="Y49" s="83"/>
    </row>
    <row r="50" spans="1:26" x14ac:dyDescent="0.25">
      <c r="A50" s="38"/>
      <c r="B50" s="29"/>
      <c r="D50" s="64"/>
      <c r="E50" s="65"/>
      <c r="F50" s="64"/>
      <c r="G50" s="64"/>
      <c r="H50" s="64"/>
      <c r="I50" s="64"/>
      <c r="J50" s="64"/>
      <c r="K50" s="64"/>
      <c r="L50" s="64"/>
      <c r="M50" s="64"/>
      <c r="N50" s="64"/>
      <c r="O50" s="64"/>
      <c r="P50" s="64"/>
      <c r="Q50" s="130"/>
      <c r="R50" s="130"/>
      <c r="S50" s="130"/>
      <c r="T50" s="64"/>
      <c r="U50" s="64"/>
      <c r="V50" s="66"/>
      <c r="W50" s="83"/>
      <c r="X50" s="66"/>
      <c r="Y50" s="83"/>
    </row>
    <row r="51" spans="1:26" x14ac:dyDescent="0.25">
      <c r="A51" s="38" t="s">
        <v>73</v>
      </c>
      <c r="B51" s="29"/>
      <c r="D51" s="64"/>
      <c r="E51" s="65"/>
      <c r="F51" s="64"/>
      <c r="G51" s="64"/>
      <c r="H51" s="64"/>
      <c r="I51" s="64"/>
      <c r="J51" s="64"/>
      <c r="K51" s="64"/>
      <c r="L51" s="64"/>
      <c r="M51" s="64"/>
      <c r="N51" s="64"/>
      <c r="O51" s="64"/>
      <c r="P51" s="64"/>
      <c r="Q51" s="130"/>
      <c r="R51" s="130"/>
      <c r="S51" s="130"/>
      <c r="T51" s="64"/>
      <c r="U51" s="64"/>
      <c r="V51" s="66"/>
      <c r="W51" s="83"/>
      <c r="X51" s="66"/>
      <c r="Y51" s="83"/>
    </row>
    <row r="52" spans="1:26" x14ac:dyDescent="0.25">
      <c r="A52" s="8" t="s">
        <v>74</v>
      </c>
      <c r="B52" s="78">
        <v>0</v>
      </c>
      <c r="D52" s="64"/>
      <c r="E52" s="65"/>
      <c r="F52" s="64"/>
      <c r="G52" s="64"/>
      <c r="H52" s="64"/>
      <c r="I52" s="64"/>
      <c r="J52" s="64"/>
      <c r="K52" s="64"/>
      <c r="L52" s="51"/>
      <c r="M52" s="51"/>
      <c r="N52" s="53"/>
      <c r="O52" s="51"/>
      <c r="P52" s="64"/>
      <c r="Q52" s="130"/>
      <c r="R52" s="130"/>
      <c r="S52" s="127"/>
      <c r="T52" s="64"/>
      <c r="U52" s="64"/>
      <c r="V52" s="66"/>
      <c r="W52" s="83"/>
      <c r="X52" s="66"/>
      <c r="Y52" s="83"/>
    </row>
    <row r="53" spans="1:26" x14ac:dyDescent="0.25">
      <c r="A53" s="38" t="s">
        <v>75</v>
      </c>
      <c r="B53" s="79">
        <f>SUM(B52:B52)</f>
        <v>0</v>
      </c>
      <c r="D53" s="62">
        <f t="shared" ref="D53:M53" si="21">SUM(D52:D52)</f>
        <v>0</v>
      </c>
      <c r="E53" s="62">
        <f t="shared" si="21"/>
        <v>0</v>
      </c>
      <c r="F53" s="62">
        <f t="shared" si="21"/>
        <v>0</v>
      </c>
      <c r="G53" s="62">
        <f t="shared" si="21"/>
        <v>0</v>
      </c>
      <c r="H53" s="62">
        <f t="shared" si="21"/>
        <v>0</v>
      </c>
      <c r="I53" s="62">
        <f t="shared" si="21"/>
        <v>0</v>
      </c>
      <c r="J53" s="62">
        <f t="shared" si="21"/>
        <v>0</v>
      </c>
      <c r="K53" s="62">
        <f t="shared" si="21"/>
        <v>0</v>
      </c>
      <c r="L53" s="62">
        <f t="shared" si="21"/>
        <v>0</v>
      </c>
      <c r="M53" s="62">
        <f t="shared" si="21"/>
        <v>0</v>
      </c>
      <c r="N53" s="62"/>
      <c r="O53" s="62">
        <f>SUM(O52:O52)</f>
        <v>0</v>
      </c>
      <c r="P53" s="62">
        <f>SUM(P52:P52)</f>
        <v>0</v>
      </c>
      <c r="Q53" s="128">
        <f>SUM(Q52:Q52)</f>
        <v>0</v>
      </c>
      <c r="R53" s="128">
        <f>SUM(R52:R52)</f>
        <v>0</v>
      </c>
      <c r="S53" s="128">
        <f>SUM(S52:S52)</f>
        <v>0</v>
      </c>
      <c r="T53" s="62"/>
      <c r="U53" s="62"/>
      <c r="V53" s="59">
        <f>SUM(V52:V52)</f>
        <v>0</v>
      </c>
      <c r="W53" s="83"/>
      <c r="X53" s="59">
        <f>SUM(X52:X52)</f>
        <v>0</v>
      </c>
      <c r="Y53" s="83"/>
    </row>
    <row r="54" spans="1:26" x14ac:dyDescent="0.25">
      <c r="D54" s="55"/>
      <c r="E54" s="56"/>
      <c r="F54" s="55"/>
      <c r="G54" s="55"/>
      <c r="H54" s="56"/>
      <c r="I54" s="55"/>
      <c r="J54" s="55"/>
      <c r="K54" s="55"/>
      <c r="L54" s="55"/>
      <c r="M54" s="55"/>
      <c r="N54" s="55"/>
      <c r="O54" s="55"/>
      <c r="P54" s="55"/>
      <c r="Q54" s="131"/>
      <c r="R54" s="131"/>
      <c r="S54" s="131"/>
      <c r="T54" s="55"/>
      <c r="U54" s="55"/>
      <c r="V54" s="67"/>
      <c r="W54" s="88"/>
      <c r="X54" s="67"/>
      <c r="Y54" s="88"/>
    </row>
    <row r="55" spans="1:26" ht="13.8" thickBot="1" x14ac:dyDescent="0.3">
      <c r="A55" s="30" t="s">
        <v>34</v>
      </c>
      <c r="B55" s="30">
        <f>+B25+B32+B49+B53</f>
        <v>16.5</v>
      </c>
      <c r="D55" s="68">
        <f t="shared" ref="D55:L55" si="22">+D25+D32+D49+D53</f>
        <v>1199567.1800000002</v>
      </c>
      <c r="E55" s="68">
        <f t="shared" si="22"/>
        <v>6360</v>
      </c>
      <c r="F55" s="68">
        <f t="shared" si="22"/>
        <v>29282</v>
      </c>
      <c r="G55" s="68">
        <f t="shared" si="22"/>
        <v>0</v>
      </c>
      <c r="H55" s="68">
        <f t="shared" si="22"/>
        <v>4000</v>
      </c>
      <c r="I55" s="68">
        <f t="shared" si="22"/>
        <v>97154</v>
      </c>
      <c r="J55" s="68">
        <f t="shared" si="22"/>
        <v>-1120</v>
      </c>
      <c r="K55" s="68">
        <f t="shared" si="22"/>
        <v>8635</v>
      </c>
      <c r="L55" s="68">
        <f t="shared" si="22"/>
        <v>161303.5416</v>
      </c>
      <c r="M55" s="68">
        <f>+M25+M32+M49+M53</f>
        <v>212275.46074559996</v>
      </c>
      <c r="N55" s="68"/>
      <c r="O55" s="68">
        <f>+O25+O32+O49+O53</f>
        <v>1717775.1823455999</v>
      </c>
      <c r="P55" s="68">
        <f>+P25+P32+P49+P53</f>
        <v>887626.75322160008</v>
      </c>
      <c r="Q55" s="132">
        <f>+Q25+Q32+Q49+Q53</f>
        <v>777937.55759999994</v>
      </c>
      <c r="R55" s="132">
        <f>+R25+R32+R49+R53</f>
        <v>109689.1956216</v>
      </c>
      <c r="S55" s="132">
        <f>+S25+S32+S49+S53</f>
        <v>71974.030800000008</v>
      </c>
      <c r="T55" s="68"/>
      <c r="U55" s="68"/>
      <c r="V55" s="69">
        <f>+V25+V32+V49+V53</f>
        <v>959600.78402159992</v>
      </c>
      <c r="W55" s="83"/>
      <c r="X55" s="69">
        <f>+X25+X32+X49+X53</f>
        <v>3838403.1360863997</v>
      </c>
      <c r="Y55" s="83"/>
      <c r="Z55" s="83"/>
    </row>
    <row r="56" spans="1:26" ht="13.8" thickTop="1" x14ac:dyDescent="0.25"/>
    <row r="58" spans="1:26" x14ac:dyDescent="0.25">
      <c r="A58" s="39" t="s">
        <v>220</v>
      </c>
      <c r="B58" s="108">
        <v>196</v>
      </c>
    </row>
    <row r="59" spans="1:26" x14ac:dyDescent="0.25">
      <c r="A59" s="39"/>
      <c r="B59" s="39"/>
      <c r="P59" s="81" t="s">
        <v>76</v>
      </c>
      <c r="Q59" s="81"/>
      <c r="R59" s="81"/>
      <c r="S59" s="82">
        <v>4</v>
      </c>
      <c r="V59" s="77" t="s">
        <v>53</v>
      </c>
      <c r="W59" s="60"/>
      <c r="X59" s="88"/>
      <c r="Y59" s="60"/>
      <c r="Z59" s="10"/>
    </row>
    <row r="60" spans="1:26" x14ac:dyDescent="0.25">
      <c r="A60" s="39" t="s">
        <v>61</v>
      </c>
      <c r="B60" s="39"/>
      <c r="P60" s="76" t="s">
        <v>72</v>
      </c>
      <c r="Q60" s="76"/>
      <c r="R60" s="76"/>
      <c r="W60" s="47"/>
      <c r="X60" s="83"/>
      <c r="Y60" s="47"/>
      <c r="Z60" s="47"/>
    </row>
    <row r="61" spans="1:26" x14ac:dyDescent="0.25">
      <c r="A61" s="39" t="s">
        <v>62</v>
      </c>
      <c r="B61" s="109">
        <f>+B55/B58</f>
        <v>8.4183673469387751E-2</v>
      </c>
      <c r="W61" s="55"/>
      <c r="X61" s="88"/>
      <c r="Y61" s="55"/>
      <c r="Z61" s="55"/>
    </row>
    <row r="62" spans="1:26" x14ac:dyDescent="0.25">
      <c r="A62" s="39" t="s">
        <v>63</v>
      </c>
      <c r="B62" s="109">
        <f>(B58-B55)/B58</f>
        <v>0.91581632653061229</v>
      </c>
      <c r="O62" s="75">
        <v>5100</v>
      </c>
      <c r="P62" s="43" t="s">
        <v>36</v>
      </c>
      <c r="V62" s="43">
        <f>+Q55*S59</f>
        <v>3111750.2303999998</v>
      </c>
      <c r="W62" s="55"/>
      <c r="X62" s="88"/>
      <c r="Y62" s="55"/>
      <c r="Z62" s="55"/>
    </row>
    <row r="63" spans="1:26" x14ac:dyDescent="0.25">
      <c r="O63" s="75">
        <v>5101</v>
      </c>
      <c r="P63" s="43" t="s">
        <v>71</v>
      </c>
      <c r="V63" s="43">
        <f>+R55*S59</f>
        <v>438756.78248639998</v>
      </c>
      <c r="W63" s="55"/>
      <c r="X63" s="88"/>
      <c r="Y63" s="55"/>
      <c r="Z63" s="55"/>
    </row>
    <row r="64" spans="1:26" x14ac:dyDescent="0.25">
      <c r="O64" s="75">
        <v>5103</v>
      </c>
      <c r="P64" s="43" t="s">
        <v>79</v>
      </c>
      <c r="V64" s="43">
        <f>+S55*S59</f>
        <v>287896.12320000003</v>
      </c>
      <c r="W64" s="55"/>
      <c r="X64" s="88"/>
      <c r="Y64" s="55"/>
      <c r="Z64" s="55"/>
    </row>
    <row r="65" spans="2:29" x14ac:dyDescent="0.25">
      <c r="W65" s="55"/>
      <c r="X65" s="88"/>
      <c r="Y65" s="55"/>
      <c r="Z65" s="55"/>
    </row>
    <row r="66" spans="2:29" ht="13.8" thickBot="1" x14ac:dyDescent="0.3">
      <c r="P66" s="80" t="s">
        <v>77</v>
      </c>
      <c r="Q66" s="80"/>
      <c r="R66" s="80"/>
      <c r="S66" s="80"/>
      <c r="T66" s="80"/>
      <c r="U66" s="80"/>
      <c r="V66" s="80">
        <f>SUM(V62:V65)</f>
        <v>3838403.1360863997</v>
      </c>
      <c r="W66" s="55"/>
      <c r="X66" s="88"/>
      <c r="Y66" s="55"/>
      <c r="Z66" s="55"/>
    </row>
    <row r="67" spans="2:29" ht="13.8" thickTop="1" x14ac:dyDescent="0.25">
      <c r="W67" s="55"/>
      <c r="X67" s="88"/>
      <c r="Y67" s="55"/>
      <c r="Z67" s="55"/>
    </row>
    <row r="68" spans="2:29" x14ac:dyDescent="0.25">
      <c r="B68" s="102"/>
      <c r="C68" s="31"/>
      <c r="D68" s="9"/>
      <c r="E68" s="9"/>
      <c r="F68" s="53"/>
      <c r="G68" s="53"/>
      <c r="H68" s="53"/>
      <c r="I68" s="9"/>
      <c r="J68" s="95"/>
      <c r="K68" s="95"/>
      <c r="L68" s="95"/>
    </row>
    <row r="69" spans="2:29" x14ac:dyDescent="0.25">
      <c r="B69" s="102"/>
      <c r="C69" s="31"/>
      <c r="D69" s="9"/>
      <c r="E69" s="9"/>
      <c r="F69" s="53"/>
      <c r="G69" s="53"/>
      <c r="H69" s="53"/>
      <c r="I69" s="9"/>
      <c r="J69" s="96"/>
      <c r="K69" s="96"/>
      <c r="L69" s="95"/>
    </row>
    <row r="70" spans="2:29" x14ac:dyDescent="0.25">
      <c r="B70" s="102"/>
      <c r="C70" s="31"/>
      <c r="D70" s="9"/>
      <c r="E70" s="9"/>
      <c r="F70" s="53"/>
      <c r="G70" s="53"/>
      <c r="H70" s="53"/>
      <c r="I70" s="9"/>
      <c r="J70" s="96"/>
      <c r="K70" s="96"/>
      <c r="L70" s="95"/>
      <c r="R70" s="60"/>
      <c r="S70" s="45"/>
      <c r="T70" s="60"/>
      <c r="U70" s="60"/>
      <c r="V70" s="60"/>
      <c r="W70" s="60"/>
      <c r="X70" s="60"/>
      <c r="Y70" s="60"/>
      <c r="Z70" s="10"/>
      <c r="AA70" s="10"/>
      <c r="AB70" s="10"/>
      <c r="AC70" s="10"/>
    </row>
    <row r="71" spans="2:29" x14ac:dyDescent="0.25">
      <c r="B71" s="102"/>
      <c r="C71" s="31"/>
      <c r="D71" s="31"/>
      <c r="E71" s="31"/>
      <c r="F71" s="83"/>
      <c r="G71" s="83"/>
      <c r="H71" s="83"/>
      <c r="I71" s="31"/>
      <c r="J71" s="103"/>
      <c r="K71" s="103"/>
      <c r="L71" s="104"/>
      <c r="P71" s="45"/>
      <c r="Q71" s="45"/>
      <c r="R71" s="45"/>
      <c r="S71" s="133"/>
      <c r="T71" s="60"/>
      <c r="U71" s="60"/>
      <c r="V71" s="60"/>
      <c r="W71" s="60"/>
      <c r="X71" s="60"/>
      <c r="Y71" s="60"/>
      <c r="Z71" s="10"/>
      <c r="AA71" s="10"/>
      <c r="AB71" s="10"/>
      <c r="AC71" s="10"/>
    </row>
    <row r="72" spans="2:29" x14ac:dyDescent="0.25">
      <c r="B72" s="102"/>
      <c r="C72" s="31"/>
      <c r="D72" s="9"/>
      <c r="E72" s="31"/>
      <c r="F72" s="83"/>
      <c r="G72" s="83"/>
      <c r="H72" s="83"/>
      <c r="I72" s="31"/>
      <c r="J72" s="103"/>
      <c r="K72" s="103"/>
      <c r="L72" s="104"/>
      <c r="O72"/>
      <c r="P72"/>
      <c r="Q72"/>
      <c r="R72" s="10"/>
      <c r="S72" s="134"/>
      <c r="T72" s="10"/>
      <c r="U72" s="10"/>
      <c r="V72" s="10"/>
      <c r="W72" s="60"/>
      <c r="X72" s="60"/>
      <c r="Y72" s="60"/>
      <c r="Z72" s="10"/>
      <c r="AA72" s="10"/>
      <c r="AB72" s="10"/>
      <c r="AC72" s="10"/>
    </row>
    <row r="73" spans="2:29" x14ac:dyDescent="0.25">
      <c r="B73" s="102"/>
      <c r="C73" s="9"/>
      <c r="D73" s="9"/>
      <c r="E73" s="9"/>
      <c r="F73" s="73"/>
      <c r="G73" s="105"/>
      <c r="H73" s="49"/>
      <c r="I73" s="9"/>
      <c r="J73" s="49"/>
      <c r="K73" s="49"/>
      <c r="L73" s="53"/>
      <c r="O73"/>
      <c r="P73"/>
      <c r="Q73"/>
      <c r="R73" s="10"/>
      <c r="S73" s="10"/>
      <c r="T73" s="10"/>
      <c r="U73" s="10"/>
      <c r="V73" s="10"/>
      <c r="W73" s="60"/>
      <c r="X73" s="60"/>
      <c r="Y73" s="60"/>
      <c r="Z73" s="10"/>
      <c r="AA73" s="10"/>
      <c r="AB73" s="10"/>
      <c r="AC73" s="10"/>
    </row>
    <row r="74" spans="2:29" x14ac:dyDescent="0.25">
      <c r="B74" s="102"/>
      <c r="C74" s="9"/>
      <c r="D74" s="9"/>
      <c r="E74" s="9"/>
      <c r="F74" s="88"/>
      <c r="G74" s="105"/>
      <c r="H74" s="49"/>
      <c r="I74" s="9"/>
      <c r="J74" s="49"/>
      <c r="K74" s="49"/>
      <c r="L74" s="53"/>
      <c r="N74"/>
      <c r="O74"/>
      <c r="P74"/>
      <c r="Q74"/>
      <c r="R74" s="10"/>
      <c r="S74" s="10"/>
      <c r="T74" s="10"/>
      <c r="U74" s="10"/>
      <c r="V74" s="10"/>
      <c r="W74" s="60"/>
      <c r="X74" s="60"/>
      <c r="Y74" s="60"/>
      <c r="Z74" s="10"/>
      <c r="AA74" s="10"/>
      <c r="AB74" s="10"/>
      <c r="AC74" s="10"/>
    </row>
    <row r="75" spans="2:29" x14ac:dyDescent="0.25">
      <c r="B75" s="102"/>
      <c r="C75" s="9"/>
      <c r="D75" s="9"/>
      <c r="E75" s="9"/>
      <c r="F75" s="88"/>
      <c r="G75" s="105"/>
      <c r="H75" s="49"/>
      <c r="I75" s="9"/>
      <c r="J75" s="49"/>
      <c r="K75" s="49"/>
      <c r="L75" s="53"/>
      <c r="N75"/>
      <c r="O75"/>
      <c r="P75"/>
      <c r="Q75"/>
      <c r="R75" s="10"/>
      <c r="S75" s="10"/>
      <c r="T75" s="10"/>
      <c r="U75" s="10"/>
      <c r="V75" s="10"/>
      <c r="W75" s="60"/>
      <c r="X75" s="60"/>
      <c r="Y75" s="60"/>
      <c r="Z75" s="10"/>
      <c r="AA75" s="10"/>
      <c r="AB75" s="10"/>
      <c r="AC75" s="10"/>
    </row>
    <row r="76" spans="2:29" x14ac:dyDescent="0.25">
      <c r="B76" s="102"/>
      <c r="C76" s="9"/>
      <c r="D76" s="9"/>
      <c r="E76" s="9"/>
      <c r="F76" s="88"/>
      <c r="G76" s="105"/>
      <c r="H76" s="49"/>
      <c r="I76" s="9"/>
      <c r="J76" s="49"/>
      <c r="K76" s="49"/>
      <c r="L76" s="53"/>
      <c r="N76"/>
      <c r="O76"/>
      <c r="P76"/>
      <c r="Q76"/>
      <c r="R76"/>
      <c r="S76"/>
      <c r="T76"/>
      <c r="U76"/>
      <c r="V76"/>
    </row>
    <row r="77" spans="2:29" x14ac:dyDescent="0.25">
      <c r="B77" s="102"/>
      <c r="C77" s="9"/>
      <c r="D77" s="9"/>
      <c r="E77" s="9"/>
      <c r="F77" s="88"/>
      <c r="G77" s="105"/>
      <c r="H77" s="49"/>
      <c r="I77" s="9"/>
      <c r="J77" s="49"/>
      <c r="K77" s="49"/>
      <c r="L77" s="53"/>
      <c r="N77"/>
      <c r="O77"/>
      <c r="P77"/>
      <c r="Q77"/>
      <c r="R77"/>
      <c r="S77"/>
      <c r="T77"/>
      <c r="U77"/>
      <c r="V77"/>
    </row>
    <row r="78" spans="2:29" x14ac:dyDescent="0.25">
      <c r="B78" s="102"/>
      <c r="C78" s="9"/>
      <c r="D78" s="9"/>
      <c r="E78" s="9"/>
      <c r="F78" s="88"/>
      <c r="G78" s="105"/>
      <c r="H78" s="49"/>
      <c r="I78" s="9"/>
      <c r="J78" s="49"/>
      <c r="K78" s="49"/>
      <c r="L78" s="53"/>
      <c r="N78"/>
      <c r="O78"/>
      <c r="P78"/>
      <c r="Q78"/>
      <c r="R78"/>
      <c r="S78"/>
      <c r="T78"/>
      <c r="U78"/>
      <c r="V78"/>
    </row>
    <row r="79" spans="2:29" x14ac:dyDescent="0.25">
      <c r="B79" s="102"/>
      <c r="C79" s="9"/>
      <c r="D79" s="9"/>
      <c r="E79" s="9"/>
      <c r="F79" s="88"/>
      <c r="G79" s="105"/>
      <c r="H79" s="49"/>
      <c r="I79" s="9"/>
      <c r="J79" s="49"/>
      <c r="K79" s="49"/>
      <c r="L79" s="53"/>
      <c r="N79"/>
      <c r="O79"/>
      <c r="P79"/>
      <c r="Q79"/>
      <c r="R79"/>
      <c r="S79"/>
      <c r="T79"/>
      <c r="U79"/>
      <c r="V79"/>
    </row>
    <row r="80" spans="2:29" x14ac:dyDescent="0.25">
      <c r="B80" s="102"/>
      <c r="C80" s="9"/>
      <c r="D80" s="9"/>
      <c r="E80" s="9"/>
      <c r="F80" s="88"/>
      <c r="G80" s="105"/>
      <c r="H80" s="49"/>
      <c r="I80" s="9"/>
      <c r="J80" s="49"/>
      <c r="K80" s="49"/>
      <c r="L80" s="53"/>
      <c r="N80"/>
      <c r="O80"/>
      <c r="P80"/>
      <c r="Q80"/>
      <c r="R80"/>
      <c r="S80"/>
      <c r="T80"/>
      <c r="U80"/>
      <c r="V80"/>
    </row>
    <row r="81" spans="2:22" x14ac:dyDescent="0.25">
      <c r="B81" s="102"/>
      <c r="C81" s="9"/>
      <c r="D81" s="9"/>
      <c r="E81" s="9"/>
      <c r="F81" s="88"/>
      <c r="G81" s="105"/>
      <c r="H81" s="49"/>
      <c r="I81" s="9"/>
      <c r="J81" s="49"/>
      <c r="K81" s="49"/>
      <c r="L81" s="53"/>
      <c r="N81"/>
      <c r="O81"/>
      <c r="P81"/>
      <c r="Q81"/>
      <c r="R81"/>
      <c r="S81"/>
      <c r="T81"/>
      <c r="U81"/>
      <c r="V81"/>
    </row>
    <row r="82" spans="2:22" x14ac:dyDescent="0.25">
      <c r="B82" s="102"/>
      <c r="C82" s="9"/>
      <c r="D82" s="9"/>
      <c r="E82" s="9"/>
      <c r="F82" s="88"/>
      <c r="G82" s="105"/>
      <c r="H82" s="49"/>
      <c r="I82" s="9"/>
      <c r="J82" s="49"/>
      <c r="K82" s="49"/>
      <c r="L82" s="53"/>
      <c r="N82"/>
      <c r="O82"/>
      <c r="P82"/>
      <c r="Q82"/>
      <c r="R82"/>
      <c r="S82"/>
      <c r="T82"/>
      <c r="U82"/>
      <c r="V82"/>
    </row>
    <row r="83" spans="2:22" x14ac:dyDescent="0.25">
      <c r="B83" s="102"/>
      <c r="C83" s="9"/>
      <c r="D83" s="9"/>
      <c r="E83" s="9"/>
      <c r="F83" s="88"/>
      <c r="G83" s="105"/>
      <c r="H83" s="49"/>
      <c r="I83" s="9"/>
      <c r="J83" s="49"/>
      <c r="K83" s="49"/>
      <c r="L83" s="53"/>
      <c r="N83"/>
      <c r="O83"/>
      <c r="P83"/>
      <c r="Q83"/>
      <c r="R83"/>
      <c r="S83"/>
      <c r="T83"/>
      <c r="U83"/>
      <c r="V83"/>
    </row>
    <row r="84" spans="2:22" x14ac:dyDescent="0.25">
      <c r="B84" s="102"/>
      <c r="C84" s="9"/>
      <c r="D84" s="9"/>
      <c r="E84" s="9"/>
      <c r="F84" s="88"/>
      <c r="G84" s="105"/>
      <c r="H84" s="49"/>
      <c r="I84" s="9"/>
      <c r="J84" s="49"/>
      <c r="K84" s="49"/>
      <c r="L84" s="53"/>
      <c r="N84"/>
      <c r="O84"/>
      <c r="P84"/>
      <c r="Q84"/>
      <c r="R84"/>
      <c r="S84"/>
      <c r="T84"/>
      <c r="U84"/>
      <c r="V84"/>
    </row>
    <row r="85" spans="2:22" x14ac:dyDescent="0.25">
      <c r="B85" s="102"/>
      <c r="C85" s="9"/>
      <c r="D85" s="9"/>
      <c r="E85" s="9"/>
      <c r="F85" s="88"/>
      <c r="G85" s="105"/>
      <c r="H85" s="49"/>
      <c r="I85" s="9"/>
      <c r="J85" s="49"/>
      <c r="K85" s="49"/>
      <c r="L85" s="53"/>
      <c r="N85"/>
      <c r="O85"/>
      <c r="P85"/>
      <c r="Q85"/>
      <c r="R85"/>
      <c r="S85"/>
      <c r="T85"/>
      <c r="U85"/>
      <c r="V85"/>
    </row>
    <row r="86" spans="2:22" x14ac:dyDescent="0.25">
      <c r="B86" s="102"/>
      <c r="C86" s="9"/>
      <c r="D86" s="9"/>
      <c r="E86" s="9"/>
      <c r="F86" s="88"/>
      <c r="G86" s="105"/>
      <c r="H86" s="49"/>
      <c r="I86" s="9"/>
      <c r="J86" s="49"/>
      <c r="K86" s="49"/>
      <c r="L86" s="53"/>
      <c r="N86"/>
      <c r="O86"/>
      <c r="P86"/>
      <c r="Q86"/>
      <c r="R86"/>
      <c r="S86"/>
      <c r="T86"/>
      <c r="U86"/>
      <c r="V86"/>
    </row>
    <row r="87" spans="2:22" x14ac:dyDescent="0.25">
      <c r="B87" s="102"/>
      <c r="C87" s="9"/>
      <c r="D87" s="9"/>
      <c r="E87" s="9"/>
      <c r="F87" s="88"/>
      <c r="G87" s="105"/>
      <c r="H87" s="49"/>
      <c r="I87" s="9"/>
      <c r="J87" s="49"/>
      <c r="K87" s="49"/>
      <c r="L87" s="53"/>
      <c r="N87"/>
      <c r="O87"/>
      <c r="P87"/>
      <c r="Q87"/>
      <c r="R87"/>
      <c r="S87"/>
      <c r="T87"/>
      <c r="U87"/>
      <c r="V87"/>
    </row>
    <row r="88" spans="2:22" x14ac:dyDescent="0.25">
      <c r="B88" s="102"/>
      <c r="C88" s="9"/>
      <c r="D88" s="9"/>
      <c r="E88" s="9"/>
      <c r="F88" s="88"/>
      <c r="G88" s="105"/>
      <c r="H88" s="49"/>
      <c r="I88" s="9"/>
      <c r="J88" s="49"/>
      <c r="K88" s="49"/>
      <c r="L88" s="53"/>
      <c r="N88"/>
      <c r="O88"/>
      <c r="P88"/>
      <c r="Q88"/>
      <c r="R88"/>
      <c r="S88"/>
      <c r="T88"/>
      <c r="U88"/>
      <c r="V88"/>
    </row>
    <row r="89" spans="2:22" x14ac:dyDescent="0.25">
      <c r="B89" s="102"/>
      <c r="C89" s="9"/>
      <c r="D89" s="9"/>
      <c r="E89" s="9"/>
      <c r="F89" s="88"/>
      <c r="G89" s="105"/>
      <c r="H89" s="49"/>
      <c r="I89" s="9"/>
      <c r="J89" s="49"/>
      <c r="K89" s="49"/>
      <c r="L89" s="53"/>
      <c r="N89"/>
      <c r="O89"/>
      <c r="P89"/>
      <c r="Q89"/>
      <c r="R89"/>
      <c r="S89"/>
      <c r="T89"/>
      <c r="U89"/>
      <c r="V89"/>
    </row>
    <row r="90" spans="2:22" x14ac:dyDescent="0.25">
      <c r="B90" s="102"/>
      <c r="C90" s="9"/>
      <c r="D90" s="9"/>
      <c r="E90" s="9"/>
      <c r="F90" s="88"/>
      <c r="G90" s="105"/>
      <c r="H90" s="49"/>
      <c r="I90" s="9"/>
      <c r="J90" s="49"/>
      <c r="K90" s="49"/>
      <c r="L90" s="53"/>
      <c r="N90"/>
      <c r="O90"/>
      <c r="P90"/>
      <c r="Q90"/>
      <c r="R90"/>
      <c r="S90"/>
      <c r="T90"/>
      <c r="U90"/>
      <c r="V90"/>
    </row>
    <row r="91" spans="2:22" x14ac:dyDescent="0.25">
      <c r="B91" s="102"/>
      <c r="C91" s="9"/>
      <c r="D91" s="9"/>
      <c r="E91" s="9"/>
      <c r="F91" s="88"/>
      <c r="G91" s="105"/>
      <c r="H91" s="49"/>
      <c r="I91" s="9"/>
      <c r="J91" s="49"/>
      <c r="K91" s="49"/>
      <c r="L91" s="53"/>
      <c r="N91"/>
      <c r="O91"/>
      <c r="P91"/>
      <c r="Q91"/>
      <c r="R91"/>
      <c r="S91"/>
      <c r="T91"/>
      <c r="U91"/>
      <c r="V91"/>
    </row>
    <row r="92" spans="2:22" x14ac:dyDescent="0.25">
      <c r="B92" s="102"/>
      <c r="C92" s="9"/>
      <c r="D92" s="9"/>
      <c r="E92" s="9"/>
      <c r="F92" s="88"/>
      <c r="G92" s="105"/>
      <c r="H92" s="49"/>
      <c r="I92" s="9"/>
      <c r="J92" s="49"/>
      <c r="K92" s="49"/>
      <c r="L92" s="53"/>
      <c r="O92"/>
      <c r="P92"/>
      <c r="Q92"/>
      <c r="R92"/>
      <c r="S92"/>
      <c r="T92"/>
      <c r="U92"/>
      <c r="V92"/>
    </row>
    <row r="93" spans="2:22" x14ac:dyDescent="0.25">
      <c r="B93" s="102"/>
      <c r="C93" s="9"/>
      <c r="D93" s="9"/>
      <c r="E93" s="9"/>
      <c r="F93" s="88"/>
      <c r="G93" s="105"/>
      <c r="H93" s="49"/>
      <c r="I93" s="9"/>
      <c r="J93" s="49"/>
      <c r="K93" s="49"/>
      <c r="L93" s="53"/>
      <c r="O93"/>
      <c r="P93"/>
      <c r="Q93"/>
      <c r="R93"/>
      <c r="S93"/>
      <c r="T93"/>
      <c r="U93"/>
      <c r="V93"/>
    </row>
    <row r="94" spans="2:22" x14ac:dyDescent="0.25">
      <c r="B94" s="102"/>
      <c r="C94" s="9"/>
      <c r="D94" s="53"/>
      <c r="E94" s="49"/>
      <c r="F94" s="53"/>
      <c r="G94" s="53"/>
      <c r="H94" s="49"/>
      <c r="I94" s="53"/>
      <c r="J94" s="53"/>
      <c r="K94" s="53"/>
      <c r="L94" s="53"/>
      <c r="O94"/>
      <c r="P94"/>
      <c r="Q94"/>
      <c r="R94"/>
      <c r="S94"/>
      <c r="T94"/>
      <c r="U94"/>
      <c r="V94"/>
    </row>
    <row r="95" spans="2:22" x14ac:dyDescent="0.25">
      <c r="B95" s="102"/>
      <c r="C95" s="9"/>
      <c r="D95" s="53"/>
      <c r="E95" s="49"/>
      <c r="F95" s="53"/>
      <c r="G95" s="53"/>
      <c r="H95" s="49"/>
      <c r="I95" s="53"/>
      <c r="J95" s="53"/>
      <c r="K95" s="53"/>
      <c r="L95" s="53"/>
      <c r="O95"/>
      <c r="P95"/>
      <c r="Q95"/>
      <c r="R95"/>
      <c r="S95"/>
      <c r="T95"/>
      <c r="U95"/>
      <c r="V95"/>
    </row>
    <row r="96" spans="2:22" x14ac:dyDescent="0.25">
      <c r="B96" s="102"/>
      <c r="C96" s="9"/>
      <c r="D96" s="53"/>
      <c r="E96" s="49"/>
      <c r="F96" s="53"/>
      <c r="G96" s="53"/>
      <c r="H96" s="49"/>
      <c r="I96" s="53"/>
      <c r="J96" s="53"/>
      <c r="K96" s="53"/>
      <c r="L96" s="53"/>
      <c r="O96"/>
      <c r="P96"/>
      <c r="Q96"/>
      <c r="R96"/>
      <c r="S96"/>
      <c r="T96"/>
      <c r="U96"/>
      <c r="V96"/>
    </row>
    <row r="97" spans="2:22" x14ac:dyDescent="0.25">
      <c r="B97" s="102"/>
      <c r="C97" s="9"/>
      <c r="D97" s="53"/>
      <c r="E97" s="49"/>
      <c r="F97" s="53"/>
      <c r="G97" s="53"/>
      <c r="H97" s="49"/>
      <c r="I97" s="53"/>
      <c r="J97" s="53"/>
      <c r="K97" s="53"/>
      <c r="L97" s="53"/>
      <c r="O97"/>
      <c r="P97"/>
      <c r="Q97"/>
      <c r="R97"/>
      <c r="S97"/>
      <c r="T97"/>
      <c r="U97"/>
      <c r="V97"/>
    </row>
    <row r="98" spans="2:22" x14ac:dyDescent="0.25">
      <c r="B98" s="102"/>
      <c r="C98" s="9"/>
      <c r="D98" s="53"/>
      <c r="E98" s="49"/>
      <c r="F98" s="53"/>
      <c r="G98" s="53"/>
      <c r="H98" s="49"/>
      <c r="I98" s="53"/>
      <c r="J98" s="53"/>
      <c r="K98" s="53"/>
      <c r="L98" s="53"/>
      <c r="O98"/>
      <c r="P98"/>
      <c r="Q98"/>
      <c r="R98"/>
      <c r="S98"/>
      <c r="T98"/>
      <c r="U98"/>
      <c r="V98"/>
    </row>
    <row r="99" spans="2:22" x14ac:dyDescent="0.25">
      <c r="B99" s="102"/>
      <c r="C99" s="9"/>
      <c r="D99" s="53"/>
      <c r="E99" s="49"/>
      <c r="F99" s="53"/>
      <c r="G99" s="53"/>
      <c r="H99" s="49"/>
      <c r="I99" s="53"/>
      <c r="J99" s="53"/>
      <c r="K99" s="53"/>
      <c r="L99" s="53"/>
      <c r="O99"/>
      <c r="P99"/>
      <c r="Q99"/>
      <c r="R99"/>
      <c r="S99"/>
      <c r="T99"/>
      <c r="U99"/>
      <c r="V99"/>
    </row>
    <row r="100" spans="2:22" x14ac:dyDescent="0.25">
      <c r="C100" s="3"/>
      <c r="D100" s="92"/>
      <c r="E100" s="93"/>
      <c r="F100" s="92"/>
      <c r="G100" s="92"/>
      <c r="H100" s="93"/>
      <c r="I100" s="92"/>
      <c r="J100" s="92"/>
      <c r="K100" s="92"/>
      <c r="L100" s="92"/>
      <c r="O100"/>
      <c r="P100"/>
      <c r="Q100"/>
      <c r="R100"/>
      <c r="S100"/>
      <c r="T100"/>
      <c r="U100"/>
      <c r="V100"/>
    </row>
    <row r="101" spans="2:22" x14ac:dyDescent="0.25">
      <c r="C101" s="3"/>
      <c r="D101" s="92"/>
      <c r="E101" s="93"/>
      <c r="F101" s="92"/>
      <c r="G101" s="92"/>
      <c r="H101" s="93"/>
      <c r="I101" s="92"/>
      <c r="J101" s="92"/>
      <c r="K101" s="92"/>
      <c r="L101" s="92"/>
      <c r="O101"/>
      <c r="P101"/>
      <c r="Q101"/>
      <c r="R101"/>
      <c r="S101"/>
      <c r="T101"/>
      <c r="U101"/>
      <c r="V101"/>
    </row>
    <row r="102" spans="2:22" x14ac:dyDescent="0.25">
      <c r="C102" s="3"/>
      <c r="D102" s="92"/>
      <c r="E102" s="93"/>
      <c r="F102" s="92"/>
      <c r="G102" s="92"/>
      <c r="H102" s="93"/>
      <c r="I102" s="92"/>
      <c r="J102" s="92"/>
      <c r="K102" s="92"/>
      <c r="L102" s="92"/>
      <c r="O102"/>
      <c r="P102"/>
      <c r="Q102"/>
      <c r="R102"/>
      <c r="S102"/>
      <c r="T102"/>
      <c r="U102"/>
      <c r="V102"/>
    </row>
    <row r="103" spans="2:22" x14ac:dyDescent="0.25">
      <c r="C103" s="3"/>
      <c r="D103" s="92"/>
      <c r="E103" s="93"/>
      <c r="F103" s="92"/>
      <c r="G103" s="92"/>
      <c r="H103" s="93"/>
      <c r="I103" s="92"/>
      <c r="J103" s="92"/>
      <c r="K103" s="92"/>
      <c r="L103" s="92"/>
      <c r="O103"/>
      <c r="P103"/>
      <c r="Q103"/>
      <c r="R103"/>
      <c r="S103"/>
      <c r="T103"/>
      <c r="U103"/>
      <c r="V103"/>
    </row>
    <row r="104" spans="2:22" x14ac:dyDescent="0.25">
      <c r="C104" s="3"/>
      <c r="D104" s="92"/>
      <c r="E104" s="93"/>
      <c r="F104" s="92"/>
      <c r="G104" s="92"/>
      <c r="H104" s="93"/>
      <c r="I104" s="92"/>
      <c r="J104" s="92"/>
      <c r="K104" s="92"/>
      <c r="L104" s="92"/>
      <c r="O104"/>
      <c r="P104"/>
      <c r="Q104"/>
      <c r="R104"/>
      <c r="S104"/>
      <c r="T104"/>
      <c r="U104"/>
      <c r="V104"/>
    </row>
    <row r="105" spans="2:22" x14ac:dyDescent="0.25">
      <c r="C105" s="3"/>
      <c r="D105" s="92"/>
      <c r="E105" s="93"/>
      <c r="F105" s="92"/>
      <c r="G105" s="92"/>
      <c r="H105" s="93"/>
      <c r="I105" s="92"/>
      <c r="J105" s="92"/>
      <c r="K105" s="92"/>
      <c r="L105" s="92"/>
      <c r="O105"/>
      <c r="P105"/>
      <c r="Q105"/>
      <c r="R105"/>
      <c r="S105"/>
      <c r="T105"/>
      <c r="U105"/>
      <c r="V105"/>
    </row>
    <row r="106" spans="2:22" x14ac:dyDescent="0.25">
      <c r="C106" s="3"/>
      <c r="D106" s="92"/>
      <c r="E106" s="93"/>
      <c r="F106" s="92"/>
      <c r="G106" s="92"/>
      <c r="H106" s="93"/>
      <c r="I106" s="92"/>
      <c r="J106" s="92"/>
      <c r="K106" s="92"/>
      <c r="L106" s="92"/>
      <c r="O106"/>
      <c r="P106"/>
      <c r="Q106"/>
      <c r="R106"/>
      <c r="S106"/>
      <c r="T106"/>
      <c r="U106"/>
      <c r="V106"/>
    </row>
    <row r="107" spans="2:22" x14ac:dyDescent="0.25">
      <c r="C107" s="3"/>
      <c r="D107" s="92"/>
      <c r="E107" s="93"/>
      <c r="F107" s="92"/>
      <c r="G107" s="92"/>
      <c r="H107" s="93"/>
      <c r="I107" s="92"/>
      <c r="J107" s="92"/>
      <c r="K107" s="92"/>
      <c r="L107" s="92"/>
      <c r="O107"/>
      <c r="P107"/>
      <c r="Q107"/>
      <c r="R107"/>
      <c r="S107"/>
      <c r="T107"/>
      <c r="U107"/>
      <c r="V107"/>
    </row>
    <row r="108" spans="2:22" x14ac:dyDescent="0.25">
      <c r="C108" s="3"/>
      <c r="D108" s="92"/>
      <c r="E108" s="93"/>
      <c r="F108" s="92"/>
      <c r="G108" s="92"/>
      <c r="H108" s="93"/>
      <c r="I108" s="92"/>
      <c r="J108" s="92"/>
      <c r="K108" s="92"/>
      <c r="L108" s="92"/>
      <c r="O108"/>
      <c r="P108"/>
      <c r="Q108"/>
      <c r="R108"/>
      <c r="S108"/>
      <c r="T108"/>
      <c r="U108"/>
      <c r="V108"/>
    </row>
    <row r="109" spans="2:22" x14ac:dyDescent="0.25">
      <c r="C109" s="3"/>
      <c r="D109" s="92"/>
      <c r="E109" s="93"/>
      <c r="F109" s="92"/>
      <c r="G109" s="92"/>
      <c r="H109" s="93"/>
      <c r="I109" s="92"/>
      <c r="J109" s="92"/>
      <c r="K109" s="92"/>
      <c r="L109" s="92"/>
      <c r="O109"/>
      <c r="P109"/>
      <c r="Q109"/>
      <c r="R109"/>
      <c r="S109"/>
      <c r="T109"/>
      <c r="U109"/>
      <c r="V109"/>
    </row>
    <row r="110" spans="2:22" x14ac:dyDescent="0.25">
      <c r="C110" s="3"/>
      <c r="D110" s="92"/>
      <c r="E110" s="93"/>
      <c r="F110" s="92"/>
      <c r="G110" s="92"/>
      <c r="H110" s="93"/>
      <c r="I110" s="92"/>
      <c r="J110" s="92"/>
      <c r="K110" s="92"/>
      <c r="L110" s="92"/>
      <c r="O110"/>
      <c r="P110"/>
      <c r="Q110"/>
      <c r="R110"/>
      <c r="S110"/>
      <c r="T110"/>
      <c r="U110"/>
      <c r="V110"/>
    </row>
    <row r="111" spans="2:22" x14ac:dyDescent="0.25">
      <c r="C111" s="3"/>
      <c r="D111" s="92"/>
      <c r="E111" s="93"/>
      <c r="F111" s="92"/>
      <c r="G111" s="92"/>
      <c r="H111" s="93"/>
      <c r="I111" s="92"/>
      <c r="J111" s="92"/>
      <c r="K111" s="92"/>
      <c r="L111" s="92"/>
      <c r="O111"/>
      <c r="P111"/>
      <c r="Q111"/>
      <c r="R111"/>
      <c r="S111"/>
      <c r="T111"/>
      <c r="U111"/>
      <c r="V111"/>
    </row>
    <row r="112" spans="2:22" x14ac:dyDescent="0.25">
      <c r="C112" s="3"/>
      <c r="D112" s="92"/>
      <c r="E112" s="93"/>
      <c r="F112" s="92"/>
      <c r="G112" s="92"/>
      <c r="H112" s="93"/>
      <c r="I112" s="92"/>
      <c r="J112" s="92"/>
      <c r="K112" s="92"/>
      <c r="L112" s="92"/>
    </row>
    <row r="113" spans="3:12" x14ac:dyDescent="0.25">
      <c r="C113" s="3"/>
      <c r="D113" s="92"/>
      <c r="E113" s="93"/>
      <c r="F113" s="92"/>
      <c r="G113" s="92"/>
      <c r="H113" s="93"/>
      <c r="I113" s="92"/>
      <c r="J113" s="92"/>
      <c r="K113" s="92"/>
      <c r="L113" s="92"/>
    </row>
  </sheetData>
  <pageMargins left="0.78740157499999996" right="0.78740157499999996" top="0.984251969" bottom="0.984251969" header="0.5" footer="0.5"/>
  <pageSetup paperSize="8" scale="63" orientation="landscape" horizontalDpi="200" verticalDpi="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61"/>
  <sheetViews>
    <sheetView workbookViewId="0">
      <selection activeCell="M73" sqref="M73"/>
    </sheetView>
  </sheetViews>
  <sheetFormatPr baseColWidth="10" defaultColWidth="11.44140625" defaultRowHeight="13.2" x14ac:dyDescent="0.25"/>
  <cols>
    <col min="5" max="5" width="34.44140625" customWidth="1"/>
  </cols>
  <sheetData>
    <row r="2" spans="2:11" ht="13.8" x14ac:dyDescent="0.25">
      <c r="B2" s="179" t="s">
        <v>288</v>
      </c>
    </row>
    <row r="3" spans="2:11" ht="8.25" customHeight="1" x14ac:dyDescent="0.25"/>
    <row r="4" spans="2:11" x14ac:dyDescent="0.25">
      <c r="B4" s="347" t="s">
        <v>85</v>
      </c>
      <c r="C4" s="348"/>
      <c r="D4" s="348"/>
      <c r="E4" s="177"/>
      <c r="F4" s="348" t="s">
        <v>287</v>
      </c>
      <c r="G4" s="348"/>
      <c r="H4" s="349"/>
    </row>
    <row r="5" spans="2:11" x14ac:dyDescent="0.25">
      <c r="B5" s="147" t="s">
        <v>259</v>
      </c>
      <c r="C5" s="148" t="s">
        <v>260</v>
      </c>
      <c r="D5" s="149" t="s">
        <v>261</v>
      </c>
      <c r="E5" s="148"/>
      <c r="F5" s="148" t="s">
        <v>259</v>
      </c>
      <c r="G5" s="148" t="s">
        <v>260</v>
      </c>
      <c r="H5" s="149" t="s">
        <v>261</v>
      </c>
    </row>
    <row r="6" spans="2:11" ht="14.4" x14ac:dyDescent="0.3">
      <c r="B6" s="150">
        <v>0</v>
      </c>
      <c r="C6" s="151">
        <v>0</v>
      </c>
      <c r="D6" s="152">
        <v>0</v>
      </c>
      <c r="E6" s="153" t="s">
        <v>262</v>
      </c>
      <c r="F6" s="154">
        <v>0</v>
      </c>
      <c r="G6" s="151">
        <v>0</v>
      </c>
      <c r="H6" s="152">
        <v>0</v>
      </c>
    </row>
    <row r="7" spans="2:11" ht="14.4" x14ac:dyDescent="0.3">
      <c r="B7" s="154">
        <f>+F7-F35</f>
        <v>2514.3630500000008</v>
      </c>
      <c r="C7" s="151">
        <f>+G7-G35</f>
        <v>1771</v>
      </c>
      <c r="D7" s="152">
        <f>+H7-H35</f>
        <v>1352</v>
      </c>
      <c r="E7" s="153" t="s">
        <v>263</v>
      </c>
      <c r="F7" s="154">
        <f>SUM('Regnsk ON pr mars'!P6:P10)*-1/1000</f>
        <v>5476.3630500000008</v>
      </c>
      <c r="G7" s="151">
        <v>4646</v>
      </c>
      <c r="H7" s="152">
        <v>3342</v>
      </c>
    </row>
    <row r="8" spans="2:11" ht="14.4" x14ac:dyDescent="0.3">
      <c r="B8" s="154">
        <v>0</v>
      </c>
      <c r="C8" s="151">
        <v>0</v>
      </c>
      <c r="D8" s="152">
        <v>0</v>
      </c>
      <c r="E8" s="153" t="s">
        <v>264</v>
      </c>
      <c r="F8" s="154">
        <v>0</v>
      </c>
      <c r="G8" s="151">
        <v>0</v>
      </c>
      <c r="H8" s="152">
        <v>0</v>
      </c>
    </row>
    <row r="9" spans="2:11" ht="14.4" x14ac:dyDescent="0.3">
      <c r="B9" s="154">
        <v>0</v>
      </c>
      <c r="C9" s="151">
        <v>0</v>
      </c>
      <c r="D9" s="152">
        <v>0</v>
      </c>
      <c r="E9" s="153" t="s">
        <v>265</v>
      </c>
      <c r="F9" s="154">
        <v>0</v>
      </c>
      <c r="G9" s="151">
        <v>0</v>
      </c>
      <c r="H9" s="152">
        <v>0</v>
      </c>
    </row>
    <row r="10" spans="2:11" ht="14.4" x14ac:dyDescent="0.3">
      <c r="B10" s="155">
        <f>SUM(B6:B9)</f>
        <v>2514.3630500000008</v>
      </c>
      <c r="C10" s="156">
        <f>SUM(C6:C9)</f>
        <v>1771</v>
      </c>
      <c r="D10" s="157">
        <f>SUM(D6:D9)</f>
        <v>1352</v>
      </c>
      <c r="E10" s="158" t="s">
        <v>266</v>
      </c>
      <c r="F10" s="155">
        <f>SUM(F6:F9)</f>
        <v>5476.3630500000008</v>
      </c>
      <c r="G10" s="156">
        <f>SUM(G6:G9)</f>
        <v>4646</v>
      </c>
      <c r="H10" s="157">
        <f>SUM(H6:H9)</f>
        <v>3342</v>
      </c>
    </row>
    <row r="11" spans="2:11" ht="14.4" x14ac:dyDescent="0.3">
      <c r="B11" s="154">
        <v>0</v>
      </c>
      <c r="C11" s="151">
        <v>0</v>
      </c>
      <c r="D11" s="152">
        <v>0</v>
      </c>
      <c r="E11" s="153" t="s">
        <v>267</v>
      </c>
      <c r="F11" s="154">
        <v>0</v>
      </c>
      <c r="G11" s="151">
        <v>0</v>
      </c>
      <c r="H11" s="152">
        <v>0</v>
      </c>
    </row>
    <row r="12" spans="2:11" ht="14.4" x14ac:dyDescent="0.3">
      <c r="B12" s="154">
        <f t="shared" ref="B12:D13" si="0">+F12-F40</f>
        <v>620.80235206479983</v>
      </c>
      <c r="C12" s="151">
        <f t="shared" si="0"/>
        <v>1128</v>
      </c>
      <c r="D12" s="152">
        <f t="shared" si="0"/>
        <v>1277</v>
      </c>
      <c r="E12" s="153" t="s">
        <v>268</v>
      </c>
      <c r="F12" s="154">
        <f>SUM('Personalkost ON pr mars'!V66)/1000</f>
        <v>2878.8023520647998</v>
      </c>
      <c r="G12" s="151">
        <v>3384</v>
      </c>
      <c r="H12" s="152">
        <v>3716</v>
      </c>
    </row>
    <row r="13" spans="2:11" ht="14.4" x14ac:dyDescent="0.3">
      <c r="B13" s="154">
        <f t="shared" si="0"/>
        <v>1819.307573895408</v>
      </c>
      <c r="C13" s="151">
        <f t="shared" si="0"/>
        <v>746</v>
      </c>
      <c r="D13" s="152">
        <f t="shared" si="0"/>
        <v>502</v>
      </c>
      <c r="E13" s="153" t="s">
        <v>269</v>
      </c>
      <c r="F13" s="154">
        <f>SUM('Regnsk ON pr mars'!P54:P77)/1000+SUM('Regnsk ON pr mars'!P85:P172)/1000</f>
        <v>2939.307573895408</v>
      </c>
      <c r="G13" s="151">
        <v>2238</v>
      </c>
      <c r="H13" s="152">
        <v>983</v>
      </c>
    </row>
    <row r="14" spans="2:11" ht="14.4" x14ac:dyDescent="0.3">
      <c r="B14" s="154">
        <v>0</v>
      </c>
      <c r="C14" s="151">
        <v>0</v>
      </c>
      <c r="D14" s="152">
        <v>0</v>
      </c>
      <c r="E14" s="153" t="s">
        <v>270</v>
      </c>
      <c r="F14" s="154">
        <v>0</v>
      </c>
      <c r="G14" s="151">
        <v>0</v>
      </c>
      <c r="H14" s="152">
        <v>0</v>
      </c>
    </row>
    <row r="15" spans="2:11" ht="14.4" x14ac:dyDescent="0.3">
      <c r="B15" s="159">
        <f>+B10-B11-B12-B13+B14</f>
        <v>74.253124039792965</v>
      </c>
      <c r="C15" s="160">
        <f>+C10-C11-C12-C13+C14</f>
        <v>-103</v>
      </c>
      <c r="D15" s="161">
        <f>+D10-D11-D12-D13+D14</f>
        <v>-427</v>
      </c>
      <c r="E15" s="162" t="s">
        <v>271</v>
      </c>
      <c r="F15" s="159">
        <f>+F10-F12-F13+F14</f>
        <v>-341.74687596020703</v>
      </c>
      <c r="G15" s="160">
        <f>+G10-G11-G12-G13+G14</f>
        <v>-976</v>
      </c>
      <c r="H15" s="161">
        <f>+H10-H11-H12-H13+H14</f>
        <v>-1357</v>
      </c>
      <c r="J15" s="178"/>
      <c r="K15" s="178"/>
    </row>
    <row r="16" spans="2:11" ht="14.4" x14ac:dyDescent="0.3">
      <c r="B16" s="154">
        <f>+F16-F44</f>
        <v>7.0534872193877547</v>
      </c>
      <c r="C16" s="151">
        <f>+G16-G44</f>
        <v>6</v>
      </c>
      <c r="D16" s="152">
        <f>+H16-H44</f>
        <v>0</v>
      </c>
      <c r="E16" s="153" t="s">
        <v>272</v>
      </c>
      <c r="F16" s="154">
        <f>'Regnsk ON pr mars'!P80/1000</f>
        <v>17.053487219387755</v>
      </c>
      <c r="G16" s="151">
        <v>18</v>
      </c>
      <c r="H16" s="152">
        <v>0</v>
      </c>
      <c r="J16" s="178"/>
    </row>
    <row r="17" spans="2:10" ht="14.4" x14ac:dyDescent="0.3">
      <c r="B17" s="154">
        <f>+B11+B12+B13+B16</f>
        <v>2447.1634131795954</v>
      </c>
      <c r="C17" s="151">
        <f>+C11+C12+C13+C16</f>
        <v>1880</v>
      </c>
      <c r="D17" s="152">
        <f>+D11+D12+D13+D16</f>
        <v>1779</v>
      </c>
      <c r="E17" s="163" t="s">
        <v>283</v>
      </c>
      <c r="F17" s="154">
        <f>+F11+F12+F13+F16</f>
        <v>5835.1634131795954</v>
      </c>
      <c r="G17" s="151">
        <f>+G11+G12+G13+G16</f>
        <v>5640</v>
      </c>
      <c r="H17" s="152">
        <f>+H11+H12+H13+H16</f>
        <v>4699</v>
      </c>
      <c r="J17" s="178"/>
    </row>
    <row r="18" spans="2:10" ht="14.4" x14ac:dyDescent="0.3">
      <c r="B18" s="159">
        <f>+B10-B17</f>
        <v>67.199636820405431</v>
      </c>
      <c r="C18" s="160">
        <f>+C10-C17</f>
        <v>-109</v>
      </c>
      <c r="D18" s="161">
        <f>+D10-D17</f>
        <v>-427</v>
      </c>
      <c r="E18" s="162" t="s">
        <v>274</v>
      </c>
      <c r="F18" s="159">
        <f>+F10-F17</f>
        <v>-358.80036317959457</v>
      </c>
      <c r="G18" s="160">
        <f>+G10-G17</f>
        <v>-994</v>
      </c>
      <c r="H18" s="161">
        <f>+H10-H17</f>
        <v>-1357</v>
      </c>
    </row>
    <row r="19" spans="2:10" ht="14.4" x14ac:dyDescent="0.3">
      <c r="B19" s="154">
        <v>0</v>
      </c>
      <c r="C19" s="151">
        <v>0</v>
      </c>
      <c r="D19" s="152">
        <v>0</v>
      </c>
      <c r="E19" s="153" t="s">
        <v>275</v>
      </c>
      <c r="F19" s="154">
        <v>0</v>
      </c>
      <c r="G19" s="151">
        <v>0</v>
      </c>
      <c r="H19" s="152">
        <v>0</v>
      </c>
    </row>
    <row r="20" spans="2:10" ht="14.4" x14ac:dyDescent="0.3">
      <c r="B20" s="154">
        <v>0</v>
      </c>
      <c r="C20" s="151">
        <v>0</v>
      </c>
      <c r="D20" s="152">
        <v>0</v>
      </c>
      <c r="E20" s="153" t="s">
        <v>276</v>
      </c>
      <c r="F20" s="154">
        <v>0</v>
      </c>
      <c r="G20" s="151">
        <v>0</v>
      </c>
      <c r="H20" s="152">
        <v>0</v>
      </c>
    </row>
    <row r="21" spans="2:10" ht="14.4" x14ac:dyDescent="0.3">
      <c r="B21" s="159">
        <f>+B18-B19-B20</f>
        <v>67.199636820405431</v>
      </c>
      <c r="C21" s="160">
        <f>+C18-C19-C20</f>
        <v>-109</v>
      </c>
      <c r="D21" s="161">
        <f>+D18-D19-D20</f>
        <v>-427</v>
      </c>
      <c r="E21" s="162" t="s">
        <v>277</v>
      </c>
      <c r="F21" s="159">
        <f>+F18-F19-F20</f>
        <v>-358.80036317959457</v>
      </c>
      <c r="G21" s="160">
        <f>+G18-G19-G20</f>
        <v>-994</v>
      </c>
      <c r="H21" s="161">
        <f>+H18-H19-H20</f>
        <v>-1357</v>
      </c>
    </row>
    <row r="22" spans="2:10" ht="14.4" x14ac:dyDescent="0.3">
      <c r="B22" s="164"/>
      <c r="C22" s="165"/>
      <c r="D22" s="166"/>
      <c r="E22" s="167"/>
      <c r="F22" s="164"/>
      <c r="G22" s="165"/>
      <c r="H22" s="168"/>
    </row>
    <row r="23" spans="2:10" ht="14.4" x14ac:dyDescent="0.3">
      <c r="B23" s="169">
        <f>+B15/B10</f>
        <v>2.9531584167923935E-2</v>
      </c>
      <c r="C23" s="170">
        <f>+C15/C10</f>
        <v>-5.8159232072275552E-2</v>
      </c>
      <c r="D23" s="171">
        <f>+D15/D10</f>
        <v>-0.31582840236686388</v>
      </c>
      <c r="E23" s="172" t="s">
        <v>284</v>
      </c>
      <c r="F23" s="169">
        <f>+F15/F10</f>
        <v>-6.2403984695683569E-2</v>
      </c>
      <c r="G23" s="170">
        <f>+G15/G10</f>
        <v>-0.21007318123116658</v>
      </c>
      <c r="H23" s="171">
        <f>+H15/H10</f>
        <v>-0.40604428485936567</v>
      </c>
    </row>
    <row r="24" spans="2:10" ht="14.4" x14ac:dyDescent="0.3">
      <c r="B24" s="169">
        <f>+B18/B10</f>
        <v>2.6726306219145804E-2</v>
      </c>
      <c r="C24" s="170">
        <f>+C18/C10</f>
        <v>-6.154714850367024E-2</v>
      </c>
      <c r="D24" s="171">
        <f>+D18/D10</f>
        <v>-0.31582840236686388</v>
      </c>
      <c r="E24" s="172" t="s">
        <v>285</v>
      </c>
      <c r="F24" s="169">
        <f>+F18/F10</f>
        <v>-6.551800161963231E-2</v>
      </c>
      <c r="G24" s="170">
        <f>+G18/G10</f>
        <v>-0.21394748170469222</v>
      </c>
      <c r="H24" s="171">
        <f>+H18/H10</f>
        <v>-0.40604428485936567</v>
      </c>
    </row>
    <row r="25" spans="2:10" ht="14.4" x14ac:dyDescent="0.3">
      <c r="B25" s="173">
        <f>+B21/B10</f>
        <v>2.6726306219145804E-2</v>
      </c>
      <c r="C25" s="174">
        <f>+C21/C10</f>
        <v>-6.154714850367024E-2</v>
      </c>
      <c r="D25" s="175">
        <f>+D21/D10</f>
        <v>-0.31582840236686388</v>
      </c>
      <c r="E25" s="176" t="s">
        <v>286</v>
      </c>
      <c r="F25" s="173">
        <f>+F21/F10</f>
        <v>-6.551800161963231E-2</v>
      </c>
      <c r="G25" s="174">
        <f>+G21/G10</f>
        <v>-0.21394748170469222</v>
      </c>
      <c r="H25" s="175">
        <f>+H21/H10</f>
        <v>-0.40604428485936567</v>
      </c>
    </row>
    <row r="29" spans="2:10" hidden="1" x14ac:dyDescent="0.25"/>
    <row r="30" spans="2:10" hidden="1" x14ac:dyDescent="0.25"/>
    <row r="31" spans="2:10" hidden="1" x14ac:dyDescent="0.25"/>
    <row r="32" spans="2:10" hidden="1" x14ac:dyDescent="0.25">
      <c r="B32" s="347" t="s">
        <v>282</v>
      </c>
      <c r="C32" s="348"/>
      <c r="D32" s="348"/>
      <c r="E32" s="146"/>
      <c r="F32" s="348" t="s">
        <v>281</v>
      </c>
      <c r="G32" s="348"/>
      <c r="H32" s="349"/>
    </row>
    <row r="33" spans="2:10" hidden="1" x14ac:dyDescent="0.25">
      <c r="B33" s="147" t="s">
        <v>259</v>
      </c>
      <c r="C33" s="148" t="s">
        <v>260</v>
      </c>
      <c r="D33" s="148" t="s">
        <v>261</v>
      </c>
      <c r="E33" s="148"/>
      <c r="F33" s="148" t="s">
        <v>259</v>
      </c>
      <c r="G33" s="148" t="s">
        <v>260</v>
      </c>
      <c r="H33" s="149" t="s">
        <v>261</v>
      </c>
    </row>
    <row r="34" spans="2:10" ht="14.4" hidden="1" x14ac:dyDescent="0.3">
      <c r="B34" s="150"/>
      <c r="C34" s="151"/>
      <c r="D34" s="152"/>
      <c r="E34" s="153" t="s">
        <v>262</v>
      </c>
      <c r="F34" s="154"/>
      <c r="G34" s="151"/>
      <c r="H34" s="152"/>
    </row>
    <row r="35" spans="2:10" ht="14.4" hidden="1" x14ac:dyDescent="0.3">
      <c r="B35" s="154">
        <v>2962</v>
      </c>
      <c r="C35" s="151">
        <v>2835</v>
      </c>
      <c r="D35" s="152">
        <v>1990</v>
      </c>
      <c r="E35" s="153" t="s">
        <v>263</v>
      </c>
      <c r="F35" s="154">
        <v>2962</v>
      </c>
      <c r="G35" s="151">
        <v>2875</v>
      </c>
      <c r="H35" s="152">
        <v>1990</v>
      </c>
    </row>
    <row r="36" spans="2:10" ht="14.4" hidden="1" x14ac:dyDescent="0.3">
      <c r="B36" s="154"/>
      <c r="C36" s="151"/>
      <c r="D36" s="152"/>
      <c r="E36" s="153" t="s">
        <v>264</v>
      </c>
      <c r="F36" s="154"/>
      <c r="G36" s="151"/>
      <c r="H36" s="152"/>
    </row>
    <row r="37" spans="2:10" ht="14.4" hidden="1" x14ac:dyDescent="0.3">
      <c r="B37" s="154"/>
      <c r="C37" s="151"/>
      <c r="D37" s="152"/>
      <c r="E37" s="153" t="s">
        <v>265</v>
      </c>
      <c r="F37" s="154"/>
      <c r="G37" s="151"/>
      <c r="H37" s="152"/>
    </row>
    <row r="38" spans="2:10" ht="14.4" hidden="1" x14ac:dyDescent="0.3">
      <c r="B38" s="155">
        <v>2962</v>
      </c>
      <c r="C38" s="156">
        <v>2875</v>
      </c>
      <c r="D38" s="157">
        <v>1990</v>
      </c>
      <c r="E38" s="158" t="s">
        <v>266</v>
      </c>
      <c r="F38" s="155">
        <v>2962</v>
      </c>
      <c r="G38" s="156">
        <v>2875</v>
      </c>
      <c r="H38" s="157">
        <v>1990</v>
      </c>
    </row>
    <row r="39" spans="2:10" ht="14.4" hidden="1" x14ac:dyDescent="0.3">
      <c r="B39" s="154">
        <v>0</v>
      </c>
      <c r="C39" s="151">
        <v>0</v>
      </c>
      <c r="D39" s="152">
        <v>0</v>
      </c>
      <c r="E39" s="153" t="s">
        <v>267</v>
      </c>
      <c r="F39" s="154">
        <v>0</v>
      </c>
      <c r="G39" s="151">
        <v>0</v>
      </c>
      <c r="H39" s="152">
        <v>0</v>
      </c>
    </row>
    <row r="40" spans="2:10" ht="14.4" hidden="1" x14ac:dyDescent="0.3">
      <c r="B40" s="154">
        <v>2258</v>
      </c>
      <c r="C40" s="151">
        <v>2256</v>
      </c>
      <c r="D40" s="152">
        <v>2439</v>
      </c>
      <c r="E40" s="153" t="s">
        <v>268</v>
      </c>
      <c r="F40" s="154">
        <v>2258</v>
      </c>
      <c r="G40" s="151">
        <v>2256</v>
      </c>
      <c r="H40" s="152">
        <v>2439</v>
      </c>
    </row>
    <row r="41" spans="2:10" ht="14.4" hidden="1" x14ac:dyDescent="0.3">
      <c r="B41" s="154">
        <v>1120</v>
      </c>
      <c r="C41" s="151">
        <v>1492</v>
      </c>
      <c r="D41" s="152">
        <v>481</v>
      </c>
      <c r="E41" s="153" t="s">
        <v>269</v>
      </c>
      <c r="F41" s="154">
        <v>1120</v>
      </c>
      <c r="G41" s="151">
        <v>1492</v>
      </c>
      <c r="H41" s="152">
        <v>481</v>
      </c>
    </row>
    <row r="42" spans="2:10" ht="14.4" hidden="1" x14ac:dyDescent="0.3">
      <c r="B42" s="154">
        <v>0</v>
      </c>
      <c r="C42" s="151">
        <v>0</v>
      </c>
      <c r="D42" s="152">
        <v>0</v>
      </c>
      <c r="E42" s="153" t="s">
        <v>270</v>
      </c>
      <c r="F42" s="154">
        <v>0</v>
      </c>
      <c r="G42" s="151">
        <v>0</v>
      </c>
      <c r="H42" s="152">
        <v>0</v>
      </c>
    </row>
    <row r="43" spans="2:10" ht="14.4" hidden="1" x14ac:dyDescent="0.3">
      <c r="B43" s="159">
        <v>-416</v>
      </c>
      <c r="C43" s="160">
        <v>-873</v>
      </c>
      <c r="D43" s="161">
        <v>-930</v>
      </c>
      <c r="E43" s="162" t="s">
        <v>271</v>
      </c>
      <c r="F43" s="159">
        <v>-416</v>
      </c>
      <c r="G43" s="160">
        <v>-873</v>
      </c>
      <c r="H43" s="161">
        <v>-930</v>
      </c>
      <c r="J43" s="178"/>
    </row>
    <row r="44" spans="2:10" ht="14.4" hidden="1" x14ac:dyDescent="0.3">
      <c r="B44" s="154">
        <v>10</v>
      </c>
      <c r="C44" s="151">
        <v>12</v>
      </c>
      <c r="D44" s="152">
        <v>0</v>
      </c>
      <c r="E44" s="153" t="s">
        <v>272</v>
      </c>
      <c r="F44" s="154">
        <v>10</v>
      </c>
      <c r="G44" s="151">
        <v>12</v>
      </c>
      <c r="H44" s="152">
        <v>0</v>
      </c>
      <c r="J44" s="178"/>
    </row>
    <row r="45" spans="2:10" ht="14.4" hidden="1" x14ac:dyDescent="0.3">
      <c r="B45" s="154">
        <v>3388</v>
      </c>
      <c r="C45" s="151">
        <v>3760</v>
      </c>
      <c r="D45" s="152">
        <v>2920</v>
      </c>
      <c r="E45" s="163" t="s">
        <v>273</v>
      </c>
      <c r="F45" s="154">
        <v>3388</v>
      </c>
      <c r="G45" s="151">
        <v>3760</v>
      </c>
      <c r="H45" s="152">
        <v>2920</v>
      </c>
      <c r="J45" s="178"/>
    </row>
    <row r="46" spans="2:10" ht="14.4" hidden="1" x14ac:dyDescent="0.3">
      <c r="B46" s="159">
        <v>-426</v>
      </c>
      <c r="C46" s="160">
        <v>-885</v>
      </c>
      <c r="D46" s="161">
        <v>-930</v>
      </c>
      <c r="E46" s="162" t="s">
        <v>274</v>
      </c>
      <c r="F46" s="159">
        <v>-426</v>
      </c>
      <c r="G46" s="160">
        <v>-885</v>
      </c>
      <c r="H46" s="161">
        <v>-930</v>
      </c>
    </row>
    <row r="47" spans="2:10" ht="14.4" hidden="1" x14ac:dyDescent="0.3">
      <c r="B47" s="154">
        <v>0</v>
      </c>
      <c r="C47" s="151">
        <v>0</v>
      </c>
      <c r="D47" s="152">
        <v>0</v>
      </c>
      <c r="E47" s="153" t="s">
        <v>275</v>
      </c>
      <c r="F47" s="154">
        <v>0</v>
      </c>
      <c r="G47" s="151">
        <v>0</v>
      </c>
      <c r="H47" s="152">
        <v>0</v>
      </c>
    </row>
    <row r="48" spans="2:10" ht="14.4" hidden="1" x14ac:dyDescent="0.3">
      <c r="B48" s="154">
        <v>0</v>
      </c>
      <c r="C48" s="151">
        <v>0</v>
      </c>
      <c r="D48" s="152">
        <v>0</v>
      </c>
      <c r="E48" s="153" t="s">
        <v>276</v>
      </c>
      <c r="F48" s="154">
        <v>0</v>
      </c>
      <c r="G48" s="151">
        <v>0</v>
      </c>
      <c r="H48" s="152">
        <v>0</v>
      </c>
    </row>
    <row r="49" spans="2:8" ht="14.4" hidden="1" x14ac:dyDescent="0.3">
      <c r="B49" s="159">
        <v>-426</v>
      </c>
      <c r="C49" s="160">
        <v>-885</v>
      </c>
      <c r="D49" s="161">
        <v>-930</v>
      </c>
      <c r="E49" s="162" t="s">
        <v>277</v>
      </c>
      <c r="F49" s="159">
        <v>-426</v>
      </c>
      <c r="G49" s="160">
        <v>-885</v>
      </c>
      <c r="H49" s="161">
        <v>-930</v>
      </c>
    </row>
    <row r="50" spans="2:8" ht="14.4" hidden="1" x14ac:dyDescent="0.3">
      <c r="B50" s="164"/>
      <c r="C50" s="165"/>
      <c r="D50" s="166"/>
      <c r="E50" s="167"/>
      <c r="F50" s="164"/>
      <c r="G50" s="165"/>
      <c r="H50" s="168"/>
    </row>
    <row r="51" spans="2:8" ht="14.4" hidden="1" x14ac:dyDescent="0.3">
      <c r="B51" s="169">
        <v>-0.14044564483457123</v>
      </c>
      <c r="C51" s="170">
        <v>-0.3036521739130435</v>
      </c>
      <c r="D51" s="171">
        <v>-0.46733668341708545</v>
      </c>
      <c r="E51" s="172" t="s">
        <v>278</v>
      </c>
      <c r="F51" s="169">
        <v>-0.14044564483457123</v>
      </c>
      <c r="G51" s="170">
        <v>-0.3036521739130435</v>
      </c>
      <c r="H51" s="171">
        <v>-0.46733668341708545</v>
      </c>
    </row>
    <row r="52" spans="2:8" ht="14.4" hidden="1" x14ac:dyDescent="0.3">
      <c r="B52" s="169">
        <v>-0.14382174206617152</v>
      </c>
      <c r="C52" s="170">
        <v>-0.30782608695652175</v>
      </c>
      <c r="D52" s="171">
        <v>-0.46733668341708545</v>
      </c>
      <c r="E52" s="172" t="s">
        <v>279</v>
      </c>
      <c r="F52" s="169">
        <v>-0.14382174206617152</v>
      </c>
      <c r="G52" s="170">
        <v>-0.30782608695652175</v>
      </c>
      <c r="H52" s="171">
        <v>-0.46733668341708545</v>
      </c>
    </row>
    <row r="53" spans="2:8" ht="14.4" hidden="1" x14ac:dyDescent="0.3">
      <c r="B53" s="173">
        <v>-0.14382174206617152</v>
      </c>
      <c r="C53" s="174">
        <v>-0.30782608695652175</v>
      </c>
      <c r="D53" s="175">
        <v>-0.46733668341708545</v>
      </c>
      <c r="E53" s="176" t="s">
        <v>280</v>
      </c>
      <c r="F53" s="173">
        <v>-0.14382174206617152</v>
      </c>
      <c r="G53" s="174">
        <v>-0.30782608695652175</v>
      </c>
      <c r="H53" s="175">
        <v>-0.46733668341708545</v>
      </c>
    </row>
    <row r="54" spans="2:8" hidden="1" x14ac:dyDescent="0.25"/>
    <row r="55" spans="2:8" hidden="1" x14ac:dyDescent="0.25"/>
    <row r="59" spans="2:8" x14ac:dyDescent="0.25">
      <c r="B59" s="178"/>
    </row>
    <row r="61" spans="2:8" ht="14.25" customHeight="1" x14ac:dyDescent="0.25"/>
  </sheetData>
  <mergeCells count="4">
    <mergeCell ref="B4:D4"/>
    <mergeCell ref="F4:H4"/>
    <mergeCell ref="B32:D32"/>
    <mergeCell ref="F32:H32"/>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13</vt:i4>
      </vt:variant>
      <vt:variant>
        <vt:lpstr>Navngitte områder</vt:lpstr>
      </vt:variant>
      <vt:variant>
        <vt:i4>9</vt:i4>
      </vt:variant>
    </vt:vector>
  </HeadingPairs>
  <TitlesOfParts>
    <vt:vector size="22" baseType="lpstr">
      <vt:lpstr>MVA-modell</vt:lpstr>
      <vt:lpstr>Forklaring</vt:lpstr>
      <vt:lpstr>ark 2</vt:lpstr>
      <vt:lpstr>ark 3 </vt:lpstr>
      <vt:lpstr>ark 4</vt:lpstr>
      <vt:lpstr>Sit rapp pr april</vt:lpstr>
      <vt:lpstr>Regnsk ON pr april</vt:lpstr>
      <vt:lpstr>Personalkost ON pr april</vt:lpstr>
      <vt:lpstr>Sit rapp Q1</vt:lpstr>
      <vt:lpstr>Regnsk ON pr mars</vt:lpstr>
      <vt:lpstr>Personalkost ON pr mars</vt:lpstr>
      <vt:lpstr>Regnsk ON pr februar</vt:lpstr>
      <vt:lpstr>Personalkost ON pr febr</vt:lpstr>
      <vt:lpstr>'ark 2'!Utskriftsområde</vt:lpstr>
      <vt:lpstr>'ark 4'!Utskriftsområde</vt:lpstr>
      <vt:lpstr>'MVA-modell'!Utskriftsområde</vt:lpstr>
      <vt:lpstr>'Personalkost ON pr april'!Utskriftsområde</vt:lpstr>
      <vt:lpstr>'Personalkost ON pr febr'!Utskriftsområde</vt:lpstr>
      <vt:lpstr>'Personalkost ON pr mars'!Utskriftsområde</vt:lpstr>
      <vt:lpstr>'Regnsk ON pr april'!Utskriftsområde</vt:lpstr>
      <vt:lpstr>'Regnsk ON pr februar'!Utskriftsområde</vt:lpstr>
      <vt:lpstr>'Regnsk ON pr mars'!Utskriftsområde</vt:lpstr>
    </vt:vector>
  </TitlesOfParts>
  <Company>FvN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Bjørn Wisted</dc:creator>
  <cp:lastModifiedBy>Reidun Kjelling Nybø</cp:lastModifiedBy>
  <cp:lastPrinted>2012-03-15T07:43:37Z</cp:lastPrinted>
  <dcterms:created xsi:type="dcterms:W3CDTF">2009-11-04T12:58:50Z</dcterms:created>
  <dcterms:modified xsi:type="dcterms:W3CDTF">2013-11-13T16:57:26Z</dcterms:modified>
</cp:coreProperties>
</file>